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2"/>
  </bookViews>
  <sheets>
    <sheet name="sažetak opći dio" sheetId="1" r:id="rId1"/>
    <sheet name="opći dio račun prihoda i rashod" sheetId="2" r:id="rId2"/>
    <sheet name="prijedlog plana 2024 2025 2026" sheetId="3" r:id="rId3"/>
  </sheets>
  <definedNames>
    <definedName name="_xlnm.Print_Titles" localSheetId="2">'prijedlog plana 2024 2025 2026'!$1:$2</definedName>
  </definedNames>
  <calcPr fullCalcOnLoad="1"/>
</workbook>
</file>

<file path=xl/sharedStrings.xml><?xml version="1.0" encoding="utf-8"?>
<sst xmlns="http://schemas.openxmlformats.org/spreadsheetml/2006/main" count="418" uniqueCount="194">
  <si>
    <t>POZICIJA</t>
  </si>
  <si>
    <t>RAČUN</t>
  </si>
  <si>
    <t>OPIS</t>
  </si>
  <si>
    <t>PROJEKCIJA 2025</t>
  </si>
  <si>
    <t>00902</t>
  </si>
  <si>
    <t>OSNOVNOŠKOLSKE USTANOVE</t>
  </si>
  <si>
    <t xml:space="preserve">10838 </t>
  </si>
  <si>
    <t>O.Š. Vladimira Nazora, Vrsar</t>
  </si>
  <si>
    <t>2101</t>
  </si>
  <si>
    <t>Redovna djelatnost osnovnih škola - minimalni standard</t>
  </si>
  <si>
    <t>Funkcija 0912</t>
  </si>
  <si>
    <t>A210101</t>
  </si>
  <si>
    <t>Materijalni rashodi OŠ po kriterijima</t>
  </si>
  <si>
    <t>3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</si>
  <si>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</si>
  <si>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</si>
  <si>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</si>
  <si>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</si>
  <si>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</si>
  <si>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</si>
  <si>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</si>
  <si>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A210102</t>
  </si>
  <si>
    <t>Materijalni rashodi OŠ po stvarnom trošku</t>
  </si>
  <si>
    <t>37</t>
  </si>
  <si>
    <t>NAKN.GRAĐ.,KUĆANSTVIMA NA TEMELJ.OSIGURANJA I DR.NAKNADE</t>
  </si>
  <si>
    <t>A210103</t>
  </si>
  <si>
    <t>Materijalni rashodi OŠ po stvarnom trošku-drugi izvori</t>
  </si>
  <si>
    <t>A210104</t>
  </si>
  <si>
    <t>Plaće i drugi rashodi za zaposlene osnovnih škola</t>
  </si>
  <si>
    <t>2102</t>
  </si>
  <si>
    <t>Redovna djelatnost osnovnih škola - iznad standarda</t>
  </si>
  <si>
    <t>A210201</t>
  </si>
  <si>
    <t>Materijalni rashodi OŠ po stvarnom trošku iznad standarda</t>
  </si>
  <si>
    <t>2301</t>
  </si>
  <si>
    <t>Programi obrazovanja iznad standarda</t>
  </si>
  <si>
    <t>Funkcija 0950</t>
  </si>
  <si>
    <t>A230102</t>
  </si>
  <si>
    <t>Županijska natjecanja</t>
  </si>
  <si>
    <t>A230106</t>
  </si>
  <si>
    <t>Školska kuhinja</t>
  </si>
  <si>
    <t>A230107</t>
  </si>
  <si>
    <t>Produženi boravak</t>
  </si>
  <si>
    <t>A230116</t>
  </si>
  <si>
    <t>Školski list, časopisi i knjige</t>
  </si>
  <si>
    <t>A230118</t>
  </si>
  <si>
    <t>Logoped/Edukator-rehabilitator</t>
  </si>
  <si>
    <t>A230119</t>
  </si>
  <si>
    <t>Nagrade za učenike</t>
  </si>
  <si>
    <t>A230130</t>
  </si>
  <si>
    <t>Izborni i dodatni programi</t>
  </si>
  <si>
    <t>A230131</t>
  </si>
  <si>
    <t>Čitamo mi u obitelji svi</t>
  </si>
  <si>
    <t>4</t>
  </si>
  <si>
    <t>RASHODI ZA NABAVU NEFINANCIJSKE IMOVINE</t>
  </si>
  <si>
    <t>42</t>
  </si>
  <si>
    <t>RASHODI ZA NABAVU PROIZVEDENE DUGOTRAJNE IMOVINE</t>
  </si>
  <si>
    <t>A230133</t>
  </si>
  <si>
    <t>Rad s nadarenim učenicima</t>
  </si>
  <si>
    <t>A230134</t>
  </si>
  <si>
    <t>Školski preventivni programi</t>
  </si>
  <si>
    <t>A230137</t>
  </si>
  <si>
    <t>Stručno usavršavanje učitelja</t>
  </si>
  <si>
    <t>A230171</t>
  </si>
  <si>
    <t>Školska sportska društva</t>
  </si>
  <si>
    <t>A230177</t>
  </si>
  <si>
    <t>Eko škola</t>
  </si>
  <si>
    <t>A230178</t>
  </si>
  <si>
    <t>Folklor</t>
  </si>
  <si>
    <t>A230184</t>
  </si>
  <si>
    <t>Zavičajna nastava</t>
  </si>
  <si>
    <t>A230199</t>
  </si>
  <si>
    <t>Školska shema</t>
  </si>
  <si>
    <t>2302</t>
  </si>
  <si>
    <t>Funkcija 0960</t>
  </si>
  <si>
    <t>A230202</t>
  </si>
  <si>
    <t>Građanski odgoj</t>
  </si>
  <si>
    <t>A230203</t>
  </si>
  <si>
    <t>Medni dani</t>
  </si>
  <si>
    <t>2405</t>
  </si>
  <si>
    <t>Opremanje u osnovnim školama</t>
  </si>
  <si>
    <t>K240501</t>
  </si>
  <si>
    <t>Školski namještaj i oprema</t>
  </si>
  <si>
    <t>K240502</t>
  </si>
  <si>
    <t>Opremanje knjižnica</t>
  </si>
  <si>
    <t>K240506</t>
  </si>
  <si>
    <t>Projektna dokumentacija za OŠ</t>
  </si>
  <si>
    <t>41</t>
  </si>
  <si>
    <t>RASHODI ZA NABAVU NEPROIZVED.DUGOTRAJNE IMOVINE</t>
  </si>
  <si>
    <t>MOZAIK 5</t>
  </si>
  <si>
    <t>T921101</t>
  </si>
  <si>
    <t>Provedba projekta MOZAIK 5</t>
  </si>
  <si>
    <t>SVEUKUPNO</t>
  </si>
  <si>
    <t>10838 O.Š. Vladimira Nazora, Vrsar</t>
  </si>
  <si>
    <t>11</t>
  </si>
  <si>
    <t>Nenamjenski prihodi i primici</t>
  </si>
  <si>
    <t>47</t>
  </si>
  <si>
    <t>Prihodi za posebne namjene za proračunske korisnike</t>
  </si>
  <si>
    <t>48</t>
  </si>
  <si>
    <t>Decentralizirana sredstva</t>
  </si>
  <si>
    <t>51</t>
  </si>
  <si>
    <t>Europska unija</t>
  </si>
  <si>
    <t>53</t>
  </si>
  <si>
    <t>Ministarstva i državne ustanove za proračunske korisnike</t>
  </si>
  <si>
    <t>55</t>
  </si>
  <si>
    <t>Gradovi i općine za proračunske korisnike</t>
  </si>
  <si>
    <t>62</t>
  </si>
  <si>
    <t>Donacije za proračunske korisnike</t>
  </si>
  <si>
    <t>UKUPNO</t>
  </si>
  <si>
    <t>IZVRŠENJE 2022</t>
  </si>
  <si>
    <t>PRORAČUN  2024</t>
  </si>
  <si>
    <t>PROJEKCIJA 2026</t>
  </si>
  <si>
    <t>TEKUĆI PLAN  2023</t>
  </si>
  <si>
    <t>POSEBNI DIO - FINANCIJSKI PLAN RASHODA I IZDATAKA</t>
  </si>
  <si>
    <t>NAKN.GRAĐ., KUĆANSTVIMA NA TEMELJ.OSIGURANJA I DR.NAKNADE</t>
  </si>
  <si>
    <t>EU projetki kod proračunskog korisnika</t>
  </si>
  <si>
    <t>A230168</t>
  </si>
  <si>
    <t>A230170</t>
  </si>
  <si>
    <t>Učenička zadruga</t>
  </si>
  <si>
    <t>A230208</t>
  </si>
  <si>
    <t>Prehrana za učenike u OŠ</t>
  </si>
  <si>
    <t>A230214</t>
  </si>
  <si>
    <t>Izmjena naziva škola (dvojezičnost)</t>
  </si>
  <si>
    <t>A230209</t>
  </si>
  <si>
    <t>Menstrualne higijenske potrepštine</t>
  </si>
  <si>
    <t>3.2.</t>
  </si>
  <si>
    <t>Vlastiti</t>
  </si>
  <si>
    <t>Predsjednik Školskog odbora</t>
  </si>
  <si>
    <t>Tomislav Popović</t>
  </si>
  <si>
    <t>IZVORI FINANCIRANJA - OPĆI DIO</t>
  </si>
  <si>
    <t>RASHODI PREMA FUNKCIJSKOJ KLASIFIKACIJI - OPĆI DIO</t>
  </si>
  <si>
    <t>Funkcija 09</t>
  </si>
  <si>
    <t>rashodi</t>
  </si>
  <si>
    <t>OBRAZOVANJE</t>
  </si>
  <si>
    <t>PREDŠKOLSKO I OSOBNO OBRAZOVANJE</t>
  </si>
  <si>
    <t>OBRAZOVANJE KOJE SE NE MOŽE DEFINIRATI</t>
  </si>
  <si>
    <t>DODATNE USLUGE U OBRAZOVANJU</t>
  </si>
  <si>
    <t>Provedba projekta MOZAIK 6</t>
  </si>
  <si>
    <t>MOZAIK 6</t>
  </si>
  <si>
    <t>PLAN 2024</t>
  </si>
  <si>
    <t>TEKUĆI PLAN 2023</t>
  </si>
  <si>
    <t>T921121</t>
  </si>
  <si>
    <t>I. OPĆI DIO</t>
  </si>
  <si>
    <t>Plan 2023.</t>
  </si>
  <si>
    <t>Proračun za 2024.</t>
  </si>
  <si>
    <t>PRIHODI UKUPNO</t>
  </si>
  <si>
    <t>6 PRIHODI POSLOVANJA</t>
  </si>
  <si>
    <t>7 PRIHODI OD PRODAJE NEFINANCIJSKE IMOVINE</t>
  </si>
  <si>
    <t>RASHODI UKUPNO</t>
  </si>
  <si>
    <t>3 RASHODI  POSLOVANJA</t>
  </si>
  <si>
    <t>4 RASHODI ZA NABAVU NEFINANCIJSKE IMOVINE</t>
  </si>
  <si>
    <t>RAZLIKA - VIŠAK / MANJAK</t>
  </si>
  <si>
    <t>B) SAŽETAK RAČUNA FINANCIRANJA</t>
  </si>
  <si>
    <t>8 PRIMICI OD FINANCIJSKE IMOVINE I ZADUŽIVANJA</t>
  </si>
  <si>
    <t>5 IZDACI ZA FINANCIJSKU IMOVINU I OTPLATE ZAJMOVA</t>
  </si>
  <si>
    <t>NETO FINANCIRANJE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</si>
  <si>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</si>
  <si>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</si>
  <si>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</si>
  <si>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</si>
  <si>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</si>
  <si>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</si>
  <si>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IZ PRETHODNE(IH) GODINE KOJI ĆE SE RASPOREDITI / POKRITI</t>
  </si>
  <si>
    <t>VIŠAK / MANJAK TEKUĆE GODINE</t>
  </si>
  <si>
    <t>FINANCIJSKI PLAN OSNOVNE ŠKOLE VLADIMIRA NAZORA U VRSARU 
ZA 2024. I PROJEKCIJA ZA 2025. I 2026. GODINU</t>
  </si>
  <si>
    <t>A) SAŽETAK RAČUNA PRIHODA I RASHODA u eurima</t>
  </si>
  <si>
    <t>Izvršenje 2022.</t>
  </si>
  <si>
    <t>Projekcija
za 2025.</t>
  </si>
  <si>
    <t>Projekcija
za 2026.</t>
  </si>
  <si>
    <t xml:space="preserve">A. RAČUN PRIHODA I RASHODA </t>
  </si>
  <si>
    <t>PRIHODI POSLOVANJA PREMA EKONOMSKOJ KLASIFIKACIJI</t>
  </si>
  <si>
    <t>Razred</t>
  </si>
  <si>
    <t>Skupina</t>
  </si>
  <si>
    <t>Naziv prihoda</t>
  </si>
  <si>
    <t>Plan za 2024.</t>
  </si>
  <si>
    <t>Projekcija 
za 2025.</t>
  </si>
  <si>
    <t>Projekcija 
za 2026.</t>
  </si>
  <si>
    <t>Prihodi poslovanja</t>
  </si>
  <si>
    <t>Pomoći iz inozemstva i od subjekata unutar općeg proračuna</t>
  </si>
  <si>
    <t>Prihodi od upravnih i administrativnih pristojbi, pristojbi po posebnim propisima i naknadama</t>
  </si>
  <si>
    <t>Prihodi od prodaje proizvoda i robe te pruženih usluga i prihodi od donacija</t>
  </si>
  <si>
    <t>Prihodi iz nadležnog proračuna i od HZZO-a temeljem ugovornih obveza</t>
  </si>
  <si>
    <t>RASHODI POSLOVANJA PREMA EKONOMSKOJ KLASIFIKACIJI</t>
  </si>
  <si>
    <t>Naziv rashoda</t>
  </si>
  <si>
    <t>Rashodi poslovanja</t>
  </si>
  <si>
    <t>Rashodi za zaposlene</t>
  </si>
  <si>
    <t>Materijalni rashodi</t>
  </si>
  <si>
    <t>Rashodi za nabavu nefinancijske imovine</t>
  </si>
  <si>
    <t>Rashodi za nabavu neproizvedene dugotrajne imovine</t>
  </si>
  <si>
    <t>Rashodi za nabavu proizvedene dugotrajne imovine</t>
  </si>
  <si>
    <t>financijski rashodi</t>
  </si>
  <si>
    <t>naknade građ.i ost.</t>
  </si>
  <si>
    <t>PRIHODI UKUPO</t>
  </si>
  <si>
    <r>
      <rPr>
        <b/>
        <sz val="12"/>
        <rFont val="Arial"/>
        <family val="2"/>
      </rPr>
      <t>FINANCIJSKI PLAN ZA 2024. GODINU SA PROJEKCIJAMA ZA 2025. I 2026.GODINU</t>
    </r>
    <r>
      <rPr>
        <b/>
        <sz val="10"/>
        <rFont val="Arial"/>
        <family val="2"/>
      </rPr>
      <t xml:space="preserve">
ISTARSKA ŽUPANIJA - OSNOVNA ŠKOLA VLADIMIRA NAZORA
KLASA:400-02/23-01/03
UR.BR:2167-1-23-1</t>
    </r>
  </si>
  <si>
    <t>U Vrsaru, 22.12.2023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</si>
</sst>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_ ;\-#,##0.00\ "/>
    <numFmt numFmtId="187" formatCode="#,##0.0"/>
  </numFmts>
  <fonts count="57">
    <font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9"/>
      <name val="Arial"/>
      <family val="0"/>
    </font>
    <font>
      <sz val="8"/>
      <color indexed="10"/>
      <name val="Arial"/>
      <family val="0"/>
    </font>
    <font>
      <sz val="8"/>
      <color indexed="14"/>
      <name val="Arial"/>
      <family val="0"/>
    </font>
    <font>
      <sz val="9"/>
      <color indexed="14"/>
      <name val="Arial"/>
      <family val="0"/>
    </font>
    <font>
      <i/>
      <sz val="8"/>
      <color indexed="14"/>
      <name val="Arial"/>
      <family val="0"/>
    </font>
    <font>
      <b/>
      <sz val="8"/>
      <color indexed="8"/>
      <name val="Arial"/>
      <family val="0"/>
    </font>
    <font>
      <sz val="8"/>
      <color indexed="1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53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  <font>
      <sz val="8"/>
      <color theme="7"/>
      <name val="Arial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2" fillId="34" borderId="12" xfId="0" applyFont="1" applyFill="1" applyBorder="1" applyAlignment="1" applyProtection="1">
      <alignment horizontal="center" vertical="center" wrapText="1" readingOrder="1"/>
      <protection locked="0"/>
    </xf>
    <xf numFmtId="0" fontId="2" fillId="34" borderId="13" xfId="0" applyFont="1" applyFill="1" applyBorder="1" applyAlignment="1" applyProtection="1">
      <alignment horizontal="center" vertical="center" wrapText="1" readingOrder="1"/>
      <protection locked="0"/>
    </xf>
    <xf numFmtId="0" fontId="3" fillId="35" borderId="10" xfId="0" applyFont="1" applyFill="1" applyBorder="1" applyAlignment="1" applyProtection="1">
      <alignment horizontal="left" vertical="top" wrapText="1" readingOrder="1"/>
      <protection locked="0"/>
    </xf>
    <xf numFmtId="185" fontId="3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6" borderId="10" xfId="0" applyFont="1" applyFill="1" applyBorder="1" applyAlignment="1" applyProtection="1">
      <alignment horizontal="left" vertical="top" wrapText="1" readingOrder="1"/>
      <protection locked="0"/>
    </xf>
    <xf numFmtId="185" fontId="4" fillId="36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33" borderId="14" xfId="0" applyFont="1" applyFill="1" applyBorder="1" applyAlignment="1" applyProtection="1">
      <alignment horizontal="left" vertical="top" wrapText="1" readingOrder="1"/>
      <protection locked="0"/>
    </xf>
    <xf numFmtId="185" fontId="5" fillId="33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4" borderId="15" xfId="0" applyFont="1" applyFill="1" applyBorder="1" applyAlignment="1" applyProtection="1">
      <alignment horizontal="left" vertical="center" wrapText="1" readingOrder="1"/>
      <protection locked="0"/>
    </xf>
    <xf numFmtId="0" fontId="6" fillId="34" borderId="15" xfId="0" applyFont="1" applyFill="1" applyBorder="1" applyAlignment="1" applyProtection="1">
      <alignment horizontal="right" vertical="center" wrapText="1" readingOrder="1"/>
      <protection locked="0"/>
    </xf>
    <xf numFmtId="0" fontId="7" fillId="34" borderId="0" xfId="0" applyFont="1" applyFill="1" applyAlignment="1" applyProtection="1">
      <alignment horizontal="left" vertical="top" wrapText="1" readingOrder="1"/>
      <protection locked="0"/>
    </xf>
    <xf numFmtId="0" fontId="7" fillId="34" borderId="0" xfId="0" applyFont="1" applyFill="1" applyAlignment="1" applyProtection="1">
      <alignment horizontal="right" vertical="top" wrapText="1" readingOrder="1"/>
      <protection locked="0"/>
    </xf>
    <xf numFmtId="185" fontId="5" fillId="34" borderId="0" xfId="0" applyNumberFormat="1" applyFont="1" applyFill="1" applyAlignment="1" applyProtection="1">
      <alignment horizontal="right" vertical="top" wrapText="1" readingOrder="1"/>
      <protection locked="0"/>
    </xf>
    <xf numFmtId="0" fontId="8" fillId="34" borderId="0" xfId="0" applyFont="1" applyFill="1" applyAlignment="1" applyProtection="1">
      <alignment horizontal="left" vertical="top" wrapText="1" readingOrder="1"/>
      <protection locked="0"/>
    </xf>
    <xf numFmtId="185" fontId="8" fillId="34" borderId="0" xfId="0" applyNumberFormat="1" applyFont="1" applyFill="1" applyAlignment="1" applyProtection="1">
      <alignment horizontal="right" vertical="top" wrapText="1" readingOrder="1"/>
      <protection locked="0"/>
    </xf>
    <xf numFmtId="0" fontId="1" fillId="34" borderId="0" xfId="0" applyFont="1" applyFill="1" applyAlignment="1" applyProtection="1">
      <alignment horizontal="left" vertical="top" wrapText="1" readingOrder="1"/>
      <protection locked="0"/>
    </xf>
    <xf numFmtId="185" fontId="1" fillId="34" borderId="0" xfId="0" applyNumberFormat="1" applyFont="1" applyFill="1" applyAlignment="1" applyProtection="1">
      <alignment horizontal="right" vertical="top" wrapText="1" readingOrder="1"/>
      <protection locked="0"/>
    </xf>
    <xf numFmtId="0" fontId="8" fillId="37" borderId="16" xfId="0" applyFont="1" applyFill="1" applyBorder="1" applyAlignment="1" applyProtection="1">
      <alignment horizontal="left" vertical="top" wrapText="1" readingOrder="1"/>
      <protection locked="0"/>
    </xf>
    <xf numFmtId="185" fontId="8" fillId="37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185" fontId="9" fillId="0" borderId="0" xfId="0" applyNumberFormat="1" applyFont="1" applyAlignment="1" applyProtection="1">
      <alignment horizontal="right" vertical="top" wrapText="1" readingOrder="1"/>
      <protection locked="0"/>
    </xf>
    <xf numFmtId="0" fontId="9" fillId="0" borderId="17" xfId="0" applyFont="1" applyBorder="1" applyAlignment="1" applyProtection="1">
      <alignment vertical="center" wrapText="1" readingOrder="1"/>
      <protection locked="0"/>
    </xf>
    <xf numFmtId="185" fontId="9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" fillId="34" borderId="0" xfId="0" applyFont="1" applyFill="1" applyAlignment="1" applyProtection="1">
      <alignment horizontal="left" vertical="top" wrapText="1" readingOrder="1"/>
      <protection locked="0"/>
    </xf>
    <xf numFmtId="185" fontId="1" fillId="34" borderId="0" xfId="0" applyNumberFormat="1" applyFont="1" applyFill="1" applyAlignment="1" applyProtection="1">
      <alignment horizontal="right" vertical="top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2" xfId="0" applyFont="1" applyFill="1" applyBorder="1" applyAlignment="1" applyProtection="1">
      <alignment horizontal="center" vertical="center" wrapText="1" readingOrder="1"/>
      <protection locked="0"/>
    </xf>
    <xf numFmtId="0" fontId="7" fillId="34" borderId="0" xfId="0" applyFont="1" applyFill="1" applyAlignment="1" applyProtection="1">
      <alignment horizontal="left" vertical="top" wrapText="1" readingOrder="1"/>
      <protection locked="0"/>
    </xf>
    <xf numFmtId="0" fontId="8" fillId="34" borderId="0" xfId="0" applyFont="1" applyFill="1" applyAlignment="1" applyProtection="1">
      <alignment horizontal="left" vertical="top" wrapText="1" readingOrder="1"/>
      <protection locked="0"/>
    </xf>
    <xf numFmtId="185" fontId="54" fillId="0" borderId="0" xfId="0" applyNumberFormat="1" applyFont="1" applyAlignment="1" applyProtection="1">
      <alignment horizontal="right" vertical="top" wrapText="1" readingOrder="1"/>
      <protection locked="0"/>
    </xf>
    <xf numFmtId="16" fontId="9" fillId="0" borderId="0" xfId="0" applyNumberFormat="1" applyFont="1" applyAlignment="1" applyProtection="1">
      <alignment vertical="top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9" fillId="34" borderId="18" xfId="0" applyFont="1" applyFill="1" applyBorder="1" applyAlignment="1" applyProtection="1">
      <alignment horizontal="right" vertical="center" wrapText="1" readingOrder="1"/>
      <protection locked="0"/>
    </xf>
    <xf numFmtId="0" fontId="9" fillId="34" borderId="18" xfId="0" applyFont="1" applyFill="1" applyBorder="1" applyAlignment="1" applyProtection="1">
      <alignment horizontal="left" vertical="center" wrapText="1" readingOrder="1"/>
      <protection locked="0"/>
    </xf>
    <xf numFmtId="0" fontId="55" fillId="34" borderId="18" xfId="0" applyFont="1" applyFill="1" applyBorder="1" applyAlignment="1" applyProtection="1">
      <alignment horizontal="left" vertical="center" wrapText="1" readingOrder="1"/>
      <protection locked="0"/>
    </xf>
    <xf numFmtId="0" fontId="55" fillId="34" borderId="18" xfId="0" applyFont="1" applyFill="1" applyBorder="1" applyAlignment="1" applyProtection="1">
      <alignment horizontal="right" vertical="center" wrapText="1" readingOrder="1"/>
      <protection locked="0"/>
    </xf>
    <xf numFmtId="185" fontId="55" fillId="0" borderId="0" xfId="0" applyNumberFormat="1" applyFont="1" applyAlignment="1" applyProtection="1">
      <alignment horizontal="right" vertical="top" wrapText="1" readingOrder="1"/>
      <protection locked="0"/>
    </xf>
    <xf numFmtId="185" fontId="55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quotePrefix="1">
      <alignment horizontal="left" wrapText="1"/>
    </xf>
    <xf numFmtId="0" fontId="16" fillId="0" borderId="20" xfId="0" applyFont="1" applyBorder="1" applyAlignment="1" quotePrefix="1">
      <alignment horizontal="left" wrapText="1"/>
    </xf>
    <xf numFmtId="0" fontId="16" fillId="0" borderId="20" xfId="0" applyFont="1" applyBorder="1" applyAlignment="1" quotePrefix="1">
      <alignment horizontal="center" wrapText="1"/>
    </xf>
    <xf numFmtId="0" fontId="16" fillId="0" borderId="20" xfId="0" applyNumberFormat="1" applyFont="1" applyFill="1" applyBorder="1" applyAlignment="1" applyProtection="1" quotePrefix="1">
      <alignment horizontal="left"/>
      <protection/>
    </xf>
    <xf numFmtId="0" fontId="16" fillId="38" borderId="21" xfId="0" applyNumberFormat="1" applyFont="1" applyFill="1" applyBorder="1" applyAlignment="1" applyProtection="1">
      <alignment horizontal="center" vertical="center" wrapText="1"/>
      <protection/>
    </xf>
    <xf numFmtId="4" fontId="16" fillId="2" borderId="21" xfId="0" applyNumberFormat="1" applyFont="1" applyFill="1" applyBorder="1" applyAlignment="1">
      <alignment horizontal="right"/>
    </xf>
    <xf numFmtId="4" fontId="16" fillId="0" borderId="21" xfId="0" applyNumberFormat="1" applyFont="1" applyFill="1" applyBorder="1" applyAlignment="1">
      <alignment horizontal="right"/>
    </xf>
    <xf numFmtId="0" fontId="10" fillId="2" borderId="19" xfId="0" applyFont="1" applyFill="1" applyBorder="1" applyAlignment="1">
      <alignment horizontal="left" vertical="center"/>
    </xf>
    <xf numFmtId="0" fontId="0" fillId="2" borderId="20" xfId="0" applyNumberFormat="1" applyFont="1" applyFill="1" applyBorder="1" applyAlignment="1" applyProtection="1">
      <alignment vertical="center"/>
      <protection/>
    </xf>
    <xf numFmtId="4" fontId="16" fillId="0" borderId="21" xfId="0" applyNumberFormat="1" applyFont="1" applyFill="1" applyBorder="1" applyAlignment="1" applyProtection="1">
      <alignment horizontal="right" wrapText="1"/>
      <protection/>
    </xf>
    <xf numFmtId="4" fontId="16" fillId="0" borderId="21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3" fontId="16" fillId="0" borderId="21" xfId="0" applyNumberFormat="1" applyFont="1" applyBorder="1" applyAlignment="1">
      <alignment horizontal="right"/>
    </xf>
    <xf numFmtId="3" fontId="16" fillId="0" borderId="21" xfId="0" applyNumberFormat="1" applyFont="1" applyFill="1" applyBorder="1" applyAlignment="1" applyProtection="1">
      <alignment horizontal="right" wrapText="1"/>
      <protection/>
    </xf>
    <xf numFmtId="3" fontId="16" fillId="2" borderId="21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10" fillId="39" borderId="19" xfId="0" applyNumberFormat="1" applyFont="1" applyFill="1" applyBorder="1" applyAlignment="1" quotePrefix="1">
      <alignment horizontal="right"/>
    </xf>
    <xf numFmtId="3" fontId="10" fillId="39" borderId="21" xfId="0" applyNumberFormat="1" applyFont="1" applyFill="1" applyBorder="1" applyAlignment="1" applyProtection="1">
      <alignment horizontal="right" wrapText="1"/>
      <protection/>
    </xf>
    <xf numFmtId="3" fontId="10" fillId="2" borderId="19" xfId="0" applyNumberFormat="1" applyFont="1" applyFill="1" applyBorder="1" applyAlignment="1" quotePrefix="1">
      <alignment horizontal="right"/>
    </xf>
    <xf numFmtId="3" fontId="10" fillId="2" borderId="21" xfId="0" applyNumberFormat="1" applyFont="1" applyFill="1" applyBorder="1" applyAlignment="1" quotePrefix="1">
      <alignment horizontal="right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>
      <alignment wrapText="1"/>
    </xf>
    <xf numFmtId="0" fontId="10" fillId="0" borderId="19" xfId="0" applyFont="1" applyBorder="1" applyAlignment="1" quotePrefix="1">
      <alignment horizontal="left" wrapText="1"/>
    </xf>
    <xf numFmtId="0" fontId="10" fillId="0" borderId="20" xfId="0" applyFont="1" applyBorder="1" applyAlignment="1" quotePrefix="1">
      <alignment horizontal="left" wrapText="1"/>
    </xf>
    <xf numFmtId="0" fontId="10" fillId="0" borderId="20" xfId="0" applyFont="1" applyBorder="1" applyAlignment="1" quotePrefix="1">
      <alignment horizontal="center" wrapText="1"/>
    </xf>
    <xf numFmtId="0" fontId="10" fillId="0" borderId="20" xfId="0" applyNumberFormat="1" applyFont="1" applyFill="1" applyBorder="1" applyAlignment="1" applyProtection="1" quotePrefix="1">
      <alignment horizontal="left"/>
      <protection/>
    </xf>
    <xf numFmtId="0" fontId="10" fillId="38" borderId="21" xfId="0" applyNumberFormat="1" applyFont="1" applyFill="1" applyBorder="1" applyAlignment="1" applyProtection="1">
      <alignment horizontal="center" vertical="center" wrapText="1"/>
      <protection/>
    </xf>
    <xf numFmtId="3" fontId="16" fillId="2" borderId="19" xfId="0" applyNumberFormat="1" applyFont="1" applyFill="1" applyBorder="1" applyAlignment="1" quotePrefix="1">
      <alignment horizontal="right"/>
    </xf>
    <xf numFmtId="3" fontId="16" fillId="2" borderId="21" xfId="0" applyNumberFormat="1" applyFont="1" applyFill="1" applyBorder="1" applyAlignment="1" quotePrefix="1">
      <alignment horizontal="right"/>
    </xf>
    <xf numFmtId="4" fontId="10" fillId="2" borderId="19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6" fillId="39" borderId="21" xfId="0" applyNumberFormat="1" applyFont="1" applyFill="1" applyBorder="1" applyAlignment="1" applyProtection="1">
      <alignment horizontal="center" vertical="center" wrapText="1"/>
      <protection/>
    </xf>
    <xf numFmtId="0" fontId="16" fillId="39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38" borderId="21" xfId="0" applyNumberFormat="1" applyFont="1" applyFill="1" applyBorder="1" applyAlignment="1" applyProtection="1">
      <alignment horizontal="left" vertical="center" wrapText="1"/>
      <protection/>
    </xf>
    <xf numFmtId="4" fontId="2" fillId="38" borderId="22" xfId="0" applyNumberFormat="1" applyFont="1" applyFill="1" applyBorder="1" applyAlignment="1">
      <alignment horizontal="right"/>
    </xf>
    <xf numFmtId="4" fontId="2" fillId="38" borderId="21" xfId="0" applyNumberFormat="1" applyFont="1" applyFill="1" applyBorder="1" applyAlignment="1">
      <alignment horizontal="right"/>
    </xf>
    <xf numFmtId="0" fontId="0" fillId="38" borderId="21" xfId="0" applyNumberFormat="1" applyFont="1" applyFill="1" applyBorder="1" applyAlignment="1" applyProtection="1">
      <alignment horizontal="left" vertical="center" wrapText="1"/>
      <protection/>
    </xf>
    <xf numFmtId="0" fontId="0" fillId="38" borderId="21" xfId="0" applyFont="1" applyFill="1" applyBorder="1" applyAlignment="1" quotePrefix="1">
      <alignment horizontal="left" vertical="center"/>
    </xf>
    <xf numFmtId="4" fontId="16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38" borderId="22" xfId="0" applyNumberFormat="1" applyFont="1" applyFill="1" applyBorder="1" applyAlignment="1">
      <alignment horizontal="right"/>
    </xf>
    <xf numFmtId="3" fontId="2" fillId="38" borderId="21" xfId="0" applyNumberFormat="1" applyFont="1" applyFill="1" applyBorder="1" applyAlignment="1">
      <alignment horizontal="right"/>
    </xf>
    <xf numFmtId="0" fontId="10" fillId="38" borderId="21" xfId="0" applyFont="1" applyFill="1" applyBorder="1" applyAlignment="1">
      <alignment horizontal="left" vertical="center"/>
    </xf>
    <xf numFmtId="0" fontId="10" fillId="38" borderId="21" xfId="0" applyNumberFormat="1" applyFont="1" applyFill="1" applyBorder="1" applyAlignment="1" applyProtection="1">
      <alignment horizontal="left" vertical="center"/>
      <protection/>
    </xf>
    <xf numFmtId="0" fontId="10" fillId="38" borderId="21" xfId="0" applyNumberFormat="1" applyFont="1" applyFill="1" applyBorder="1" applyAlignment="1" applyProtection="1">
      <alignment vertical="center" wrapText="1"/>
      <protection/>
    </xf>
    <xf numFmtId="0" fontId="0" fillId="38" borderId="21" xfId="0" applyNumberFormat="1" applyFont="1" applyFill="1" applyBorder="1" applyAlignment="1" applyProtection="1">
      <alignment horizontal="left" vertical="center"/>
      <protection/>
    </xf>
    <xf numFmtId="0" fontId="0" fillId="38" borderId="21" xfId="0" applyNumberFormat="1" applyFont="1" applyFill="1" applyBorder="1" applyAlignment="1" applyProtection="1">
      <alignment vertical="center" wrapText="1"/>
      <protection/>
    </xf>
    <xf numFmtId="4" fontId="2" fillId="38" borderId="21" xfId="0" applyNumberFormat="1" applyFont="1" applyFill="1" applyBorder="1" applyAlignment="1" applyProtection="1">
      <alignment horizontal="right" wrapText="1"/>
      <protection/>
    </xf>
    <xf numFmtId="0" fontId="0" fillId="38" borderId="0" xfId="0" applyFont="1" applyFill="1" applyBorder="1" applyAlignment="1" quotePrefix="1">
      <alignment horizontal="left" vertical="center"/>
    </xf>
    <xf numFmtId="0" fontId="0" fillId="38" borderId="0" xfId="0" applyNumberFormat="1" applyFont="1" applyFill="1" applyBorder="1" applyAlignment="1" applyProtection="1">
      <alignment horizontal="left" vertical="center" wrapText="1"/>
      <protection/>
    </xf>
    <xf numFmtId="4" fontId="2" fillId="38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56" fillId="0" borderId="0" xfId="0" applyFont="1" applyAlignment="1">
      <alignment wrapText="1"/>
    </xf>
    <xf numFmtId="0" fontId="10" fillId="2" borderId="19" xfId="0" applyNumberFormat="1" applyFont="1" applyFill="1" applyBorder="1" applyAlignment="1" applyProtection="1">
      <alignment horizontal="left" vertical="center" wrapText="1"/>
      <protection/>
    </xf>
    <xf numFmtId="0" fontId="0" fillId="2" borderId="20" xfId="0" applyNumberFormat="1" applyFont="1" applyFill="1" applyBorder="1" applyAlignment="1" applyProtection="1">
      <alignment vertical="center" wrapText="1"/>
      <protection/>
    </xf>
    <xf numFmtId="0" fontId="0" fillId="2" borderId="20" xfId="0" applyNumberFormat="1" applyFont="1" applyFill="1" applyBorder="1" applyAlignment="1" applyProtection="1">
      <alignment vertical="center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 quotePrefix="1">
      <alignment horizontal="left" vertical="center"/>
    </xf>
    <xf numFmtId="0" fontId="10" fillId="2" borderId="20" xfId="0" applyNumberFormat="1" applyFont="1" applyFill="1" applyBorder="1" applyAlignment="1" applyProtection="1">
      <alignment horizontal="left" vertical="center" wrapText="1"/>
      <protection/>
    </xf>
    <xf numFmtId="0" fontId="10" fillId="2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 quotePrefix="1">
      <alignment horizontal="left" vertical="center" wrapText="1"/>
      <protection/>
    </xf>
    <xf numFmtId="0" fontId="10" fillId="0" borderId="19" xfId="0" applyFont="1" applyBorder="1" applyAlignment="1" quotePrefix="1">
      <alignment horizontal="left" vertical="center"/>
    </xf>
    <xf numFmtId="0" fontId="10" fillId="2" borderId="19" xfId="0" applyNumberFormat="1" applyFont="1" applyFill="1" applyBorder="1" applyAlignment="1" applyProtection="1" quotePrefix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39" borderId="19" xfId="0" applyNumberFormat="1" applyFont="1" applyFill="1" applyBorder="1" applyAlignment="1" applyProtection="1">
      <alignment horizontal="left" vertical="center" wrapText="1"/>
      <protection/>
    </xf>
    <xf numFmtId="0" fontId="10" fillId="39" borderId="20" xfId="0" applyNumberFormat="1" applyFont="1" applyFill="1" applyBorder="1" applyAlignment="1" applyProtection="1">
      <alignment horizontal="left" vertical="center" wrapText="1"/>
      <protection/>
    </xf>
    <xf numFmtId="0" fontId="10" fillId="39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9" fillId="0" borderId="17" xfId="0" applyFont="1" applyBorder="1" applyAlignment="1" applyProtection="1">
      <alignment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vertical="center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5" fillId="33" borderId="14" xfId="0" applyFont="1" applyFill="1" applyBorder="1" applyAlignment="1" applyProtection="1">
      <alignment horizontal="left" vertical="top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7" fillId="34" borderId="0" xfId="0" applyFont="1" applyFill="1" applyAlignment="1" applyProtection="1">
      <alignment horizontal="left" vertical="top" wrapText="1" readingOrder="1"/>
      <protection locked="0"/>
    </xf>
    <xf numFmtId="0" fontId="9" fillId="34" borderId="18" xfId="0" applyFont="1" applyFill="1" applyBorder="1" applyAlignment="1" applyProtection="1">
      <alignment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8" fillId="37" borderId="16" xfId="0" applyFont="1" applyFill="1" applyBorder="1" applyAlignment="1" applyProtection="1">
      <alignment horizontal="left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3" borderId="14" xfId="0" applyFont="1" applyFill="1" applyBorder="1" applyAlignment="1" applyProtection="1">
      <alignment horizontal="left" vertical="top" wrapText="1" readingOrder="1"/>
      <protection locked="0"/>
    </xf>
    <xf numFmtId="0" fontId="7" fillId="34" borderId="0" xfId="0" applyFont="1" applyFill="1" applyAlignment="1" applyProtection="1">
      <alignment horizontal="left" vertical="top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6" fillId="34" borderId="15" xfId="0" applyFont="1" applyFill="1" applyBorder="1" applyAlignment="1" applyProtection="1">
      <alignment horizontal="left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4" fillId="36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3" fillId="35" borderId="10" xfId="0" applyFont="1" applyFill="1" applyBorder="1" applyAlignment="1" applyProtection="1">
      <alignment horizontal="left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CE9D8"/>
      <rgbColor rgb="00FF6347"/>
      <rgbColor rgb="000000FF"/>
      <rgbColor rgb="008080F4"/>
      <rgbColor rgb="006A5ACD"/>
      <rgbColor rgb="00FFFF00"/>
      <rgbColor rgb="007871AC"/>
      <rgbColor rgb="00D3D3D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25">
      <selection activeCell="I10" sqref="I10"/>
    </sheetView>
  </sheetViews>
  <sheetFormatPr defaultColWidth="9.140625" defaultRowHeight="12.75"/>
  <cols>
    <col min="6" max="6" width="18.28125" style="0" customWidth="1"/>
    <col min="7" max="7" width="18.140625" style="0" customWidth="1"/>
    <col min="8" max="8" width="18.421875" style="0" customWidth="1"/>
    <col min="9" max="10" width="18.140625" style="0" customWidth="1"/>
  </cols>
  <sheetData>
    <row r="1" spans="1:10" ht="34.5" customHeight="1">
      <c r="A1" s="98" t="s">
        <v>163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.75">
      <c r="A2" s="98" t="s">
        <v>141</v>
      </c>
      <c r="B2" s="98"/>
      <c r="C2" s="98"/>
      <c r="D2" s="98"/>
      <c r="E2" s="98"/>
      <c r="F2" s="98"/>
      <c r="G2" s="98"/>
      <c r="H2" s="98"/>
      <c r="I2" s="99"/>
      <c r="J2" s="99"/>
    </row>
    <row r="3" spans="1:10" ht="15.75">
      <c r="A3" s="98" t="s">
        <v>164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25.5">
      <c r="A4" s="44"/>
      <c r="B4" s="45"/>
      <c r="C4" s="45"/>
      <c r="D4" s="46"/>
      <c r="E4" s="47"/>
      <c r="F4" s="48" t="s">
        <v>165</v>
      </c>
      <c r="G4" s="48" t="s">
        <v>142</v>
      </c>
      <c r="H4" s="48" t="s">
        <v>143</v>
      </c>
      <c r="I4" s="48" t="s">
        <v>166</v>
      </c>
      <c r="J4" s="48" t="s">
        <v>167</v>
      </c>
    </row>
    <row r="5" spans="1:10" ht="12.75">
      <c r="A5" s="101" t="s">
        <v>144</v>
      </c>
      <c r="B5" s="102"/>
      <c r="C5" s="102"/>
      <c r="D5" s="102"/>
      <c r="E5" s="103"/>
      <c r="F5" s="49">
        <f>F6+F7</f>
        <v>992404.55</v>
      </c>
      <c r="G5" s="49">
        <f>G6+G7</f>
        <v>1194509.34</v>
      </c>
      <c r="H5" s="49">
        <f>H6+H7</f>
        <v>1286847.99</v>
      </c>
      <c r="I5" s="49">
        <f>I6+I7</f>
        <v>1218004.86</v>
      </c>
      <c r="J5" s="49">
        <v>1218004.86</v>
      </c>
    </row>
    <row r="6" spans="1:10" ht="12.75">
      <c r="A6" s="104" t="s">
        <v>145</v>
      </c>
      <c r="B6" s="105"/>
      <c r="C6" s="105"/>
      <c r="D6" s="105"/>
      <c r="E6" s="106"/>
      <c r="F6" s="50">
        <v>992404.55</v>
      </c>
      <c r="G6" s="50">
        <f>1187158.5+7350.84</f>
        <v>1194509.34</v>
      </c>
      <c r="H6" s="50">
        <v>1286847.99</v>
      </c>
      <c r="I6" s="50">
        <v>1218004.86</v>
      </c>
      <c r="J6" s="50">
        <v>1218004.86</v>
      </c>
    </row>
    <row r="7" spans="1:10" ht="12.75">
      <c r="A7" s="107" t="s">
        <v>146</v>
      </c>
      <c r="B7" s="106"/>
      <c r="C7" s="106"/>
      <c r="D7" s="106"/>
      <c r="E7" s="106"/>
      <c r="F7" s="50">
        <v>0</v>
      </c>
      <c r="G7" s="50">
        <v>0</v>
      </c>
      <c r="H7" s="50">
        <v>0</v>
      </c>
      <c r="I7" s="50">
        <v>0</v>
      </c>
      <c r="J7" s="50">
        <v>0</v>
      </c>
    </row>
    <row r="8" spans="1:10" ht="12.75">
      <c r="A8" s="51" t="s">
        <v>147</v>
      </c>
      <c r="B8" s="52"/>
      <c r="C8" s="52"/>
      <c r="D8" s="52"/>
      <c r="E8" s="52"/>
      <c r="F8" s="49">
        <f>F9+F10</f>
        <v>999755.39</v>
      </c>
      <c r="G8" s="49">
        <f>G9+G10</f>
        <v>1187158.5</v>
      </c>
      <c r="H8" s="49">
        <f>H9+H10</f>
        <v>1286847.99</v>
      </c>
      <c r="I8" s="49">
        <f>I9+I10</f>
        <v>1218004.86</v>
      </c>
      <c r="J8" s="49">
        <v>1218004.86</v>
      </c>
    </row>
    <row r="9" spans="1:10" ht="12.75">
      <c r="A9" s="110" t="s">
        <v>148</v>
      </c>
      <c r="B9" s="105"/>
      <c r="C9" s="105"/>
      <c r="D9" s="105"/>
      <c r="E9" s="105"/>
      <c r="F9" s="50">
        <v>999755.39</v>
      </c>
      <c r="G9" s="50">
        <v>1121973.8</v>
      </c>
      <c r="H9" s="50">
        <f>1286847.99-23750</f>
        <v>1263097.99</v>
      </c>
      <c r="I9" s="50">
        <f>1218004.86-23750</f>
        <v>1194254.86</v>
      </c>
      <c r="J9" s="53">
        <v>1194247.99</v>
      </c>
    </row>
    <row r="10" spans="1:10" ht="12.75">
      <c r="A10" s="111" t="s">
        <v>149</v>
      </c>
      <c r="B10" s="106"/>
      <c r="C10" s="106"/>
      <c r="D10" s="106"/>
      <c r="E10" s="106"/>
      <c r="F10" s="54"/>
      <c r="G10" s="54">
        <f>270+133+200+200+31809.7+3090+29482</f>
        <v>65184.7</v>
      </c>
      <c r="H10" s="54">
        <f>280+150+200+0+0+3090+20030</f>
        <v>23750</v>
      </c>
      <c r="I10" s="54">
        <v>23750</v>
      </c>
      <c r="J10" s="53">
        <v>23750</v>
      </c>
    </row>
    <row r="11" spans="1:10" ht="12.75">
      <c r="A11" s="112" t="s">
        <v>150</v>
      </c>
      <c r="B11" s="102"/>
      <c r="C11" s="102"/>
      <c r="D11" s="102"/>
      <c r="E11" s="102"/>
      <c r="F11" s="49">
        <f>F5-F8</f>
        <v>-7350.839999999967</v>
      </c>
      <c r="G11" s="49">
        <f>G5-G8</f>
        <v>7350.840000000084</v>
      </c>
      <c r="H11" s="49">
        <f>H5-H8</f>
        <v>0</v>
      </c>
      <c r="I11" s="49">
        <f>I5-I8</f>
        <v>0</v>
      </c>
      <c r="J11" s="49">
        <f>J5-J8</f>
        <v>0</v>
      </c>
    </row>
    <row r="12" spans="1:10" ht="18">
      <c r="A12" s="43"/>
      <c r="B12" s="55"/>
      <c r="C12" s="55"/>
      <c r="D12" s="55"/>
      <c r="E12" s="55"/>
      <c r="F12" s="55"/>
      <c r="G12" s="55"/>
      <c r="H12" s="56"/>
      <c r="I12" s="56"/>
      <c r="J12" s="56"/>
    </row>
    <row r="13" spans="1:10" ht="15.75">
      <c r="A13" s="98" t="s">
        <v>151</v>
      </c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0" ht="25.5">
      <c r="A14" s="44"/>
      <c r="B14" s="45"/>
      <c r="C14" s="45"/>
      <c r="D14" s="46"/>
      <c r="E14" s="47"/>
      <c r="F14" s="48" t="s">
        <v>165</v>
      </c>
      <c r="G14" s="48" t="s">
        <v>142</v>
      </c>
      <c r="H14" s="48" t="s">
        <v>143</v>
      </c>
      <c r="I14" s="48" t="s">
        <v>166</v>
      </c>
      <c r="J14" s="48" t="s">
        <v>167</v>
      </c>
    </row>
    <row r="15" spans="1:10" ht="12.75">
      <c r="A15" s="111" t="s">
        <v>152</v>
      </c>
      <c r="B15" s="106"/>
      <c r="C15" s="106"/>
      <c r="D15" s="106"/>
      <c r="E15" s="106"/>
      <c r="F15" s="57"/>
      <c r="G15" s="57"/>
      <c r="H15" s="57"/>
      <c r="I15" s="57"/>
      <c r="J15" s="58"/>
    </row>
    <row r="16" spans="1:10" ht="12.75">
      <c r="A16" s="111" t="s">
        <v>153</v>
      </c>
      <c r="B16" s="106"/>
      <c r="C16" s="106"/>
      <c r="D16" s="106"/>
      <c r="E16" s="106"/>
      <c r="F16" s="57"/>
      <c r="G16" s="57"/>
      <c r="H16" s="57"/>
      <c r="I16" s="57"/>
      <c r="J16" s="58"/>
    </row>
    <row r="17" spans="1:10" ht="12.75">
      <c r="A17" s="112" t="s">
        <v>154</v>
      </c>
      <c r="B17" s="102"/>
      <c r="C17" s="102"/>
      <c r="D17" s="102"/>
      <c r="E17" s="102"/>
      <c r="F17" s="59">
        <f>F15-F16</f>
        <v>0</v>
      </c>
      <c r="G17" s="59">
        <f>G15-G16</f>
        <v>0</v>
      </c>
      <c r="H17" s="59">
        <f>H15-H16</f>
        <v>0</v>
      </c>
      <c r="I17" s="59">
        <f>I15-I16</f>
        <v>0</v>
      </c>
      <c r="J17" s="59">
        <f>J15-J16</f>
        <v>0</v>
      </c>
    </row>
    <row r="18" spans="1:10" ht="12.75">
      <c r="A18" s="112" t="s">
        <v>155</v>
      </c>
      <c r="B18" s="102"/>
      <c r="C18" s="102"/>
      <c r="D18" s="102"/>
      <c r="E18" s="102"/>
      <c r="F18" s="49">
        <f>F11+F17</f>
        <v>-7350.839999999967</v>
      </c>
      <c r="G18" s="49">
        <f>G11+G17</f>
        <v>7350.840000000084</v>
      </c>
      <c r="H18" s="59">
        <f>H11+H17</f>
        <v>0</v>
      </c>
      <c r="I18" s="59">
        <f>I11+I17</f>
        <v>0</v>
      </c>
      <c r="J18" s="59">
        <f>J11+J17</f>
        <v>0</v>
      </c>
    </row>
    <row r="19" spans="1:10" ht="18">
      <c r="A19" s="60"/>
      <c r="B19" s="55"/>
      <c r="C19" s="55"/>
      <c r="D19" s="55"/>
      <c r="E19" s="55"/>
      <c r="F19" s="55"/>
      <c r="G19" s="55"/>
      <c r="H19" s="56"/>
      <c r="I19" s="56"/>
      <c r="J19" s="56"/>
    </row>
    <row r="20" spans="1:10" ht="15.75">
      <c r="A20" s="98" t="s">
        <v>156</v>
      </c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 ht="25.5">
      <c r="A21" s="44"/>
      <c r="B21" s="45"/>
      <c r="C21" s="45"/>
      <c r="D21" s="46"/>
      <c r="E21" s="47"/>
      <c r="F21" s="48" t="s">
        <v>165</v>
      </c>
      <c r="G21" s="48" t="s">
        <v>142</v>
      </c>
      <c r="H21" s="48" t="s">
        <v>143</v>
      </c>
      <c r="I21" s="48" t="s">
        <v>166</v>
      </c>
      <c r="J21" s="48" t="s">
        <v>167</v>
      </c>
    </row>
    <row r="22" spans="1:10" ht="12.75">
      <c r="A22" s="114" t="s">
        <v>157</v>
      </c>
      <c r="B22" s="115"/>
      <c r="C22" s="115"/>
      <c r="D22" s="115"/>
      <c r="E22" s="116"/>
      <c r="F22" s="61">
        <v>0</v>
      </c>
      <c r="G22" s="61">
        <v>0</v>
      </c>
      <c r="H22" s="61">
        <v>0</v>
      </c>
      <c r="I22" s="61">
        <v>0</v>
      </c>
      <c r="J22" s="62">
        <v>0</v>
      </c>
    </row>
    <row r="23" spans="1:10" ht="12.75">
      <c r="A23" s="112" t="s">
        <v>158</v>
      </c>
      <c r="B23" s="102"/>
      <c r="C23" s="102"/>
      <c r="D23" s="102"/>
      <c r="E23" s="102"/>
      <c r="F23" s="74">
        <f>F18+F22</f>
        <v>-7350.839999999967</v>
      </c>
      <c r="G23" s="74">
        <f>G18+G22</f>
        <v>7350.840000000084</v>
      </c>
      <c r="H23" s="63">
        <f>H18+H22</f>
        <v>0</v>
      </c>
      <c r="I23" s="63">
        <f>I18+I22</f>
        <v>0</v>
      </c>
      <c r="J23" s="64">
        <f>J18+J22</f>
        <v>0</v>
      </c>
    </row>
    <row r="24" spans="1:10" ht="12.75">
      <c r="A24" s="101" t="s">
        <v>159</v>
      </c>
      <c r="B24" s="108"/>
      <c r="C24" s="108"/>
      <c r="D24" s="108"/>
      <c r="E24" s="109"/>
      <c r="F24" s="63">
        <f>F11+F17+F22-F23</f>
        <v>0</v>
      </c>
      <c r="G24" s="63">
        <f>G11+G17+G22-G23</f>
        <v>0</v>
      </c>
      <c r="H24" s="63">
        <f>H11+H17+H22-H23</f>
        <v>0</v>
      </c>
      <c r="I24" s="63">
        <f>I11+I17+I22-I23</f>
        <v>0</v>
      </c>
      <c r="J24" s="64">
        <f>J11+J17+J22-J23</f>
        <v>0</v>
      </c>
    </row>
    <row r="25" spans="1:10" ht="15.75">
      <c r="A25" s="65"/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15.75">
      <c r="A26" s="113" t="s">
        <v>160</v>
      </c>
      <c r="B26" s="113"/>
      <c r="C26" s="113"/>
      <c r="D26" s="113"/>
      <c r="E26" s="113"/>
      <c r="F26" s="113"/>
      <c r="G26" s="113"/>
      <c r="H26" s="113"/>
      <c r="I26" s="113"/>
      <c r="J26" s="113"/>
    </row>
    <row r="27" spans="1:10" ht="25.5">
      <c r="A27" s="67"/>
      <c r="B27" s="68"/>
      <c r="C27" s="68"/>
      <c r="D27" s="69"/>
      <c r="E27" s="70"/>
      <c r="F27" s="71" t="s">
        <v>165</v>
      </c>
      <c r="G27" s="71" t="s">
        <v>142</v>
      </c>
      <c r="H27" s="71" t="s">
        <v>143</v>
      </c>
      <c r="I27" s="71" t="s">
        <v>166</v>
      </c>
      <c r="J27" s="71" t="s">
        <v>167</v>
      </c>
    </row>
    <row r="28" spans="1:10" ht="12.75">
      <c r="A28" s="114" t="s">
        <v>157</v>
      </c>
      <c r="B28" s="115"/>
      <c r="C28" s="115"/>
      <c r="D28" s="115"/>
      <c r="E28" s="116"/>
      <c r="F28" s="61">
        <v>0</v>
      </c>
      <c r="G28" s="61">
        <f>F31</f>
        <v>0</v>
      </c>
      <c r="H28" s="61">
        <f>G31</f>
        <v>0</v>
      </c>
      <c r="I28" s="61">
        <f>H31</f>
        <v>0</v>
      </c>
      <c r="J28" s="62">
        <f>I31</f>
        <v>0</v>
      </c>
    </row>
    <row r="29" spans="1:10" ht="12.75">
      <c r="A29" s="114" t="s">
        <v>161</v>
      </c>
      <c r="B29" s="115"/>
      <c r="C29" s="115"/>
      <c r="D29" s="115"/>
      <c r="E29" s="116"/>
      <c r="F29" s="61">
        <v>0</v>
      </c>
      <c r="G29" s="61">
        <v>0</v>
      </c>
      <c r="H29" s="61">
        <v>0</v>
      </c>
      <c r="I29" s="61">
        <v>0</v>
      </c>
      <c r="J29" s="62">
        <v>0</v>
      </c>
    </row>
    <row r="30" spans="1:10" ht="12.75">
      <c r="A30" s="114" t="s">
        <v>162</v>
      </c>
      <c r="B30" s="117"/>
      <c r="C30" s="117"/>
      <c r="D30" s="117"/>
      <c r="E30" s="118"/>
      <c r="F30" s="61">
        <v>0</v>
      </c>
      <c r="G30" s="61">
        <v>0</v>
      </c>
      <c r="H30" s="61">
        <v>0</v>
      </c>
      <c r="I30" s="61">
        <v>0</v>
      </c>
      <c r="J30" s="62">
        <v>0</v>
      </c>
    </row>
    <row r="31" spans="1:10" ht="12.75">
      <c r="A31" s="112" t="s">
        <v>158</v>
      </c>
      <c r="B31" s="102"/>
      <c r="C31" s="102"/>
      <c r="D31" s="102"/>
      <c r="E31" s="102"/>
      <c r="F31" s="72">
        <f>F28-F29+F30</f>
        <v>0</v>
      </c>
      <c r="G31" s="72">
        <f>G28-G29+G30</f>
        <v>0</v>
      </c>
      <c r="H31" s="72">
        <f>H28-H29+H30</f>
        <v>0</v>
      </c>
      <c r="I31" s="72">
        <f>I28-I29+I30</f>
        <v>0</v>
      </c>
      <c r="J31" s="73">
        <f>J28-J29+J30</f>
        <v>0</v>
      </c>
    </row>
  </sheetData>
  <sheetProtection/>
  <mergeCells count="23">
    <mergeCell ref="A26:J26"/>
    <mergeCell ref="A28:E28"/>
    <mergeCell ref="A29:E29"/>
    <mergeCell ref="A30:E30"/>
    <mergeCell ref="A31:E31"/>
    <mergeCell ref="A17:E17"/>
    <mergeCell ref="A18:E18"/>
    <mergeCell ref="A20:J20"/>
    <mergeCell ref="A22:E22"/>
    <mergeCell ref="A23:E23"/>
    <mergeCell ref="A24:E24"/>
    <mergeCell ref="A9:E9"/>
    <mergeCell ref="A10:E10"/>
    <mergeCell ref="A11:E11"/>
    <mergeCell ref="A13:J13"/>
    <mergeCell ref="A15:E15"/>
    <mergeCell ref="A16:E16"/>
    <mergeCell ref="A1:J1"/>
    <mergeCell ref="A2:J2"/>
    <mergeCell ref="A3:J3"/>
    <mergeCell ref="A5:E5"/>
    <mergeCell ref="A6:E6"/>
    <mergeCell ref="A7:E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31">
      <selection activeCell="M11" sqref="M11"/>
    </sheetView>
  </sheetViews>
  <sheetFormatPr defaultColWidth="9.140625" defaultRowHeight="12.75"/>
  <cols>
    <col min="3" max="3" width="18.7109375" style="0" customWidth="1"/>
    <col min="4" max="4" width="14.00390625" style="0" customWidth="1"/>
    <col min="5" max="5" width="18.57421875" style="0" customWidth="1"/>
    <col min="6" max="8" width="18.140625" style="0" customWidth="1"/>
  </cols>
  <sheetData>
    <row r="1" spans="1:8" ht="15.75">
      <c r="A1" s="98" t="s">
        <v>163</v>
      </c>
      <c r="B1" s="98"/>
      <c r="C1" s="98"/>
      <c r="D1" s="98"/>
      <c r="E1" s="98"/>
      <c r="F1" s="98"/>
      <c r="G1" s="98"/>
      <c r="H1" s="98"/>
    </row>
    <row r="2" spans="1:8" ht="15.75">
      <c r="A2" s="98" t="s">
        <v>141</v>
      </c>
      <c r="B2" s="98"/>
      <c r="C2" s="98"/>
      <c r="D2" s="98"/>
      <c r="E2" s="98"/>
      <c r="F2" s="98"/>
      <c r="G2" s="98"/>
      <c r="H2" s="98"/>
    </row>
    <row r="3" spans="1:8" ht="15.75">
      <c r="A3" s="98" t="s">
        <v>168</v>
      </c>
      <c r="B3" s="98"/>
      <c r="C3" s="98"/>
      <c r="D3" s="98"/>
      <c r="E3" s="98"/>
      <c r="F3" s="98"/>
      <c r="G3" s="98"/>
      <c r="H3" s="98"/>
    </row>
    <row r="4" spans="1:8" ht="18">
      <c r="A4" s="43"/>
      <c r="B4" s="43"/>
      <c r="C4" s="43"/>
      <c r="D4" s="43"/>
      <c r="E4" s="43"/>
      <c r="F4" s="43"/>
      <c r="G4" s="75"/>
      <c r="H4" s="75"/>
    </row>
    <row r="5" spans="1:8" ht="15.75">
      <c r="A5" s="98" t="s">
        <v>169</v>
      </c>
      <c r="B5" s="98"/>
      <c r="C5" s="98"/>
      <c r="D5" s="98"/>
      <c r="E5" s="98"/>
      <c r="F5" s="98"/>
      <c r="G5" s="98"/>
      <c r="H5" s="98"/>
    </row>
    <row r="6" spans="1:8" ht="15.75">
      <c r="A6" s="42"/>
      <c r="B6" s="42"/>
      <c r="C6" s="42"/>
      <c r="D6" s="42"/>
      <c r="E6" s="42"/>
      <c r="F6" s="42"/>
      <c r="G6" s="42"/>
      <c r="H6" s="42"/>
    </row>
    <row r="7" spans="1:8" ht="31.5" customHeight="1">
      <c r="A7" s="76" t="s">
        <v>170</v>
      </c>
      <c r="B7" s="77" t="s">
        <v>171</v>
      </c>
      <c r="C7" s="77" t="s">
        <v>172</v>
      </c>
      <c r="D7" s="77" t="s">
        <v>165</v>
      </c>
      <c r="E7" s="76" t="s">
        <v>142</v>
      </c>
      <c r="F7" s="76" t="s">
        <v>173</v>
      </c>
      <c r="G7" s="76" t="s">
        <v>174</v>
      </c>
      <c r="H7" s="76" t="s">
        <v>175</v>
      </c>
    </row>
    <row r="8" spans="1:8" ht="31.5" customHeight="1">
      <c r="A8" s="76"/>
      <c r="B8" s="77"/>
      <c r="C8" s="77" t="s">
        <v>191</v>
      </c>
      <c r="D8" s="77"/>
      <c r="E8" s="76"/>
      <c r="F8" s="76">
        <v>1286854.86</v>
      </c>
      <c r="G8" s="76">
        <v>1218004.86</v>
      </c>
      <c r="H8" s="76">
        <v>1218004.86</v>
      </c>
    </row>
    <row r="9" spans="1:8" ht="25.5" customHeight="1">
      <c r="A9" s="81">
        <v>6</v>
      </c>
      <c r="B9" s="81"/>
      <c r="C9" s="81" t="s">
        <v>176</v>
      </c>
      <c r="D9" s="82"/>
      <c r="E9" s="83"/>
      <c r="F9" s="83">
        <f>F10+F11+F12+F13</f>
        <v>1286854.86</v>
      </c>
      <c r="G9" s="83">
        <f>G10+G11+G12+G13</f>
        <v>1218004.86</v>
      </c>
      <c r="H9" s="83">
        <f>H10+H11+H12+H13</f>
        <v>1218004.86</v>
      </c>
    </row>
    <row r="10" spans="1:8" ht="57" customHeight="1">
      <c r="A10" s="81"/>
      <c r="B10" s="84">
        <v>63</v>
      </c>
      <c r="C10" s="84" t="s">
        <v>177</v>
      </c>
      <c r="D10" s="82"/>
      <c r="E10" s="83"/>
      <c r="F10" s="83">
        <f>832000+7300+1000+70740+33520+1040+495+3055+1445+450+215+1345+635+190+90+630+300+987+467+450+215+3223.93+750+350+815+385+170+80+1593+125+50000+472.76+1805+855+13600+6430+5088</f>
        <v>1042311.6900000001</v>
      </c>
      <c r="G10" s="83">
        <f>832000+7300+1000+70740+33520+1040+495+3055+1445+450+215+1345+635+190+90+630+300+987+467+450+215+3223.93+750+350+815+385+170+80+1593+125+50000+472.76+1805+855+13600+6430</f>
        <v>1037223.6900000001</v>
      </c>
      <c r="H10" s="83">
        <f>832000+7300+1000+70740+33520+1040+495+3055+1445+450+215+1345+635+190+90+630+300+967+487+450+215+3223.93+750+350+815+385+170+80+1593+125+50000+472.76+1805+855+13600+6430</f>
        <v>1037223.6900000001</v>
      </c>
    </row>
    <row r="11" spans="1:8" ht="69" customHeight="1">
      <c r="A11" s="81"/>
      <c r="B11" s="84">
        <v>65</v>
      </c>
      <c r="C11" s="84" t="s">
        <v>178</v>
      </c>
      <c r="D11" s="82"/>
      <c r="E11" s="83"/>
      <c r="F11" s="83">
        <f>597+41200+418.61</f>
        <v>42215.61</v>
      </c>
      <c r="G11" s="83">
        <f>42215.61</f>
        <v>42215.61</v>
      </c>
      <c r="H11" s="83">
        <f>42215.61</f>
        <v>42215.61</v>
      </c>
    </row>
    <row r="12" spans="1:8" ht="60" customHeight="1">
      <c r="A12" s="81"/>
      <c r="B12" s="84">
        <v>66</v>
      </c>
      <c r="C12" s="84" t="s">
        <v>179</v>
      </c>
      <c r="D12" s="82"/>
      <c r="E12" s="83"/>
      <c r="F12" s="83">
        <v>2300</v>
      </c>
      <c r="G12" s="83">
        <v>0</v>
      </c>
      <c r="H12" s="83">
        <v>0</v>
      </c>
    </row>
    <row r="13" spans="1:8" ht="56.25" customHeight="1">
      <c r="A13" s="85"/>
      <c r="B13" s="85">
        <v>67</v>
      </c>
      <c r="C13" s="84" t="s">
        <v>180</v>
      </c>
      <c r="D13" s="82"/>
      <c r="E13" s="83"/>
      <c r="F13" s="83">
        <f>23785.56+77200+89850+1300+2350+600+430+4512</f>
        <v>200027.56</v>
      </c>
      <c r="G13" s="83">
        <f>23785.56+77200+33500+1300+2350+430</f>
        <v>138565.56</v>
      </c>
      <c r="H13" s="83">
        <v>138565.56</v>
      </c>
    </row>
    <row r="14" spans="1:8" ht="56.25" customHeight="1">
      <c r="A14" s="95"/>
      <c r="B14" s="95"/>
      <c r="C14" s="96"/>
      <c r="D14" s="97"/>
      <c r="E14" s="97"/>
      <c r="F14" s="97"/>
      <c r="G14" s="97"/>
      <c r="H14" s="97"/>
    </row>
    <row r="16" spans="1:8" ht="15.75">
      <c r="A16" s="98" t="s">
        <v>181</v>
      </c>
      <c r="B16" s="119"/>
      <c r="C16" s="119"/>
      <c r="D16" s="119"/>
      <c r="E16" s="119"/>
      <c r="F16" s="119"/>
      <c r="G16" s="119"/>
      <c r="H16" s="119"/>
    </row>
    <row r="17" spans="1:8" ht="27.75" customHeight="1">
      <c r="A17" s="76" t="s">
        <v>170</v>
      </c>
      <c r="B17" s="77" t="s">
        <v>171</v>
      </c>
      <c r="C17" s="77" t="s">
        <v>182</v>
      </c>
      <c r="D17" s="77" t="s">
        <v>165</v>
      </c>
      <c r="E17" s="76" t="s">
        <v>142</v>
      </c>
      <c r="F17" s="76" t="s">
        <v>173</v>
      </c>
      <c r="G17" s="76" t="s">
        <v>174</v>
      </c>
      <c r="H17" s="76" t="s">
        <v>175</v>
      </c>
    </row>
    <row r="18" spans="1:8" ht="18.75" customHeight="1">
      <c r="A18" s="78"/>
      <c r="B18" s="79"/>
      <c r="C18" s="80" t="s">
        <v>147</v>
      </c>
      <c r="D18" s="79"/>
      <c r="E18" s="78"/>
      <c r="F18" s="86">
        <f>F19+F24</f>
        <v>1286854.8599999999</v>
      </c>
      <c r="G18" s="86">
        <f>G19+G24</f>
        <v>1218004.8599999999</v>
      </c>
      <c r="H18" s="86">
        <f>H19+H24</f>
        <v>1218004.8599999999</v>
      </c>
    </row>
    <row r="19" spans="1:8" ht="18.75" customHeight="1">
      <c r="A19" s="81">
        <v>3</v>
      </c>
      <c r="B19" s="81"/>
      <c r="C19" s="81" t="s">
        <v>183</v>
      </c>
      <c r="D19" s="87"/>
      <c r="E19" s="88"/>
      <c r="F19" s="83">
        <f>SUM(F20:F23)</f>
        <v>1263104.8599999999</v>
      </c>
      <c r="G19" s="83">
        <f>G20+G21+G22+G23</f>
        <v>1194254.8599999999</v>
      </c>
      <c r="H19" s="83">
        <f>H20+H21+H22+H23</f>
        <v>1194254.8599999999</v>
      </c>
    </row>
    <row r="20" spans="1:8" ht="30.75" customHeight="1">
      <c r="A20" s="81"/>
      <c r="B20" s="84">
        <v>31</v>
      </c>
      <c r="C20" s="84" t="s">
        <v>184</v>
      </c>
      <c r="D20" s="87"/>
      <c r="E20" s="88"/>
      <c r="F20" s="83">
        <f>800+804000+0+99860+2100+9100</f>
        <v>915860</v>
      </c>
      <c r="G20" s="83">
        <f>0+0+804000+0+99860+2100+0</f>
        <v>905960</v>
      </c>
      <c r="H20" s="83">
        <v>905960</v>
      </c>
    </row>
    <row r="21" spans="1:8" ht="12.75">
      <c r="A21" s="81"/>
      <c r="B21" s="84">
        <v>32</v>
      </c>
      <c r="C21" s="84" t="s">
        <v>185</v>
      </c>
      <c r="D21" s="87"/>
      <c r="E21" s="88"/>
      <c r="F21" s="83">
        <f>23730.56+5300+2097+28000+33500+0+48500+4400+1535+4500+665+1980+930+1304+665+3223.93+418.61+1100+1000+250+1300+1593+250+125+50000+472.76+600+0+500</f>
        <v>217939.86</v>
      </c>
      <c r="G21" s="83">
        <f>23730.56+5300+597+28000+33500+0+48500+4400+1535+4500+665+1980+930+1304+665+3223.93+418.61+1100+1000+250+1300+1593+250+125+50000+472.76+0+0+0</f>
        <v>215339.86</v>
      </c>
      <c r="H21" s="83">
        <f>23730.56+5300+597+28000+33500+48500+4400+1535+4500+665+1980+930+1304+665+3223.93+418.61+1100+1000+250+1300+1593+250+125+50000+472.76+0+0</f>
        <v>215339.86</v>
      </c>
    </row>
    <row r="22" spans="1:8" ht="12.75">
      <c r="A22" s="81"/>
      <c r="B22" s="84">
        <v>34</v>
      </c>
      <c r="C22" s="84" t="s">
        <v>189</v>
      </c>
      <c r="D22" s="87"/>
      <c r="E22" s="88"/>
      <c r="F22" s="83">
        <f>55+0+1000</f>
        <v>1055</v>
      </c>
      <c r="G22" s="83">
        <v>1055</v>
      </c>
      <c r="H22" s="83">
        <f>55+0+1000</f>
        <v>1055</v>
      </c>
    </row>
    <row r="23" spans="1:8" ht="12.75">
      <c r="A23" s="85"/>
      <c r="B23" s="85">
        <v>37</v>
      </c>
      <c r="C23" s="85" t="s">
        <v>190</v>
      </c>
      <c r="D23" s="87"/>
      <c r="E23" s="88"/>
      <c r="F23" s="83">
        <f>71900+56350+0</f>
        <v>128250</v>
      </c>
      <c r="G23" s="83">
        <v>71900</v>
      </c>
      <c r="H23" s="83">
        <f>71900+0+0</f>
        <v>71900</v>
      </c>
    </row>
    <row r="24" spans="1:8" ht="39.75" customHeight="1">
      <c r="A24" s="89">
        <v>4</v>
      </c>
      <c r="B24" s="90"/>
      <c r="C24" s="91" t="s">
        <v>186</v>
      </c>
      <c r="D24" s="87"/>
      <c r="E24" s="88"/>
      <c r="F24" s="83">
        <f>SUM(F25:F26)</f>
        <v>23750</v>
      </c>
      <c r="G24" s="83">
        <v>23750</v>
      </c>
      <c r="H24" s="83">
        <v>23750</v>
      </c>
    </row>
    <row r="25" spans="1:8" ht="38.25" customHeight="1">
      <c r="A25" s="89"/>
      <c r="B25" s="92">
        <v>41</v>
      </c>
      <c r="C25" s="93" t="s">
        <v>187</v>
      </c>
      <c r="D25" s="87"/>
      <c r="E25" s="88"/>
      <c r="F25" s="83">
        <f>20030</f>
        <v>20030</v>
      </c>
      <c r="G25" s="83">
        <f>20030</f>
        <v>20030</v>
      </c>
      <c r="H25" s="83">
        <v>20030</v>
      </c>
    </row>
    <row r="26" spans="1:8" ht="42" customHeight="1">
      <c r="A26" s="84"/>
      <c r="B26" s="84">
        <v>42</v>
      </c>
      <c r="C26" s="93" t="s">
        <v>188</v>
      </c>
      <c r="D26" s="87"/>
      <c r="E26" s="88"/>
      <c r="F26" s="83">
        <f>150+280+200+0+3090</f>
        <v>3720</v>
      </c>
      <c r="G26" s="83">
        <f>280+150+200+0+3090</f>
        <v>3720</v>
      </c>
      <c r="H26" s="94">
        <v>3720</v>
      </c>
    </row>
  </sheetData>
  <sheetProtection/>
  <mergeCells count="5">
    <mergeCell ref="A1:H1"/>
    <mergeCell ref="A2:H2"/>
    <mergeCell ref="A3:H3"/>
    <mergeCell ref="A5:H5"/>
    <mergeCell ref="A16:H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5"/>
  <sheetViews>
    <sheetView showGridLines="0" tabSelected="1" zoomScalePageLayoutView="0" workbookViewId="0" topLeftCell="A1">
      <pane ySplit="2" topLeftCell="A213" activePane="bottomLeft" state="frozen"/>
      <selection pane="topLeft" activeCell="A1" sqref="A1"/>
      <selection pane="bottomLeft" activeCell="G224" sqref="G224"/>
    </sheetView>
  </sheetViews>
  <sheetFormatPr defaultColWidth="9.140625" defaultRowHeight="12.75"/>
  <cols>
    <col min="1" max="1" width="13.421875" style="0" customWidth="1"/>
    <col min="2" max="2" width="7.8515625" style="0" customWidth="1"/>
    <col min="3" max="3" width="40.7109375" style="0" customWidth="1"/>
    <col min="4" max="4" width="14.28125" style="0" customWidth="1"/>
    <col min="5" max="5" width="14.7109375" style="0" customWidth="1"/>
    <col min="6" max="6" width="12.28125" style="0" customWidth="1"/>
    <col min="7" max="8" width="13.421875" style="0" customWidth="1"/>
    <col min="9" max="9" width="0" style="0" hidden="1" customWidth="1"/>
  </cols>
  <sheetData>
    <row r="1" spans="1:5" ht="68.25" customHeight="1">
      <c r="A1" s="139" t="s">
        <v>192</v>
      </c>
      <c r="B1" s="140"/>
      <c r="C1" s="140"/>
      <c r="D1" s="140"/>
      <c r="E1" s="140"/>
    </row>
    <row r="2" ht="13.5" customHeight="1">
      <c r="C2" s="26"/>
    </row>
    <row r="3" ht="13.5" customHeight="1">
      <c r="C3" s="26" t="s">
        <v>112</v>
      </c>
    </row>
    <row r="4" ht="12" customHeight="1" thickBot="1"/>
    <row r="5" spans="1:8" ht="24" thickBot="1" thickTop="1">
      <c r="A5" s="29" t="s">
        <v>0</v>
      </c>
      <c r="B5" s="1" t="s">
        <v>1</v>
      </c>
      <c r="C5" s="1" t="s">
        <v>2</v>
      </c>
      <c r="D5" s="1" t="s">
        <v>108</v>
      </c>
      <c r="E5" s="29" t="s">
        <v>111</v>
      </c>
      <c r="F5" s="1" t="s">
        <v>109</v>
      </c>
      <c r="G5" s="2" t="s">
        <v>3</v>
      </c>
      <c r="H5" s="2" t="s">
        <v>110</v>
      </c>
    </row>
    <row r="6" spans="1:8" ht="13.5" thickTop="1">
      <c r="A6" s="3"/>
      <c r="B6" s="3"/>
      <c r="C6" s="3"/>
      <c r="D6" s="3"/>
      <c r="E6" s="30"/>
      <c r="F6" s="3"/>
      <c r="G6" s="3"/>
      <c r="H6" s="3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5" t="s">
        <v>4</v>
      </c>
      <c r="B8" s="141" t="s">
        <v>5</v>
      </c>
      <c r="C8" s="138"/>
      <c r="D8" s="6">
        <v>992404.55</v>
      </c>
      <c r="E8" s="6">
        <v>1187158.5</v>
      </c>
      <c r="F8" s="6">
        <v>1286854.86</v>
      </c>
      <c r="G8" s="6">
        <v>1218004.86</v>
      </c>
      <c r="H8" s="6">
        <v>1218004.86</v>
      </c>
    </row>
    <row r="9" spans="1:8" ht="12.75">
      <c r="A9" s="7" t="s">
        <v>6</v>
      </c>
      <c r="B9" s="137" t="s">
        <v>7</v>
      </c>
      <c r="C9" s="138"/>
      <c r="D9" s="8">
        <v>992404.55</v>
      </c>
      <c r="E9" s="8">
        <v>1187158.5</v>
      </c>
      <c r="F9" s="8">
        <v>1286854.86</v>
      </c>
      <c r="G9" s="8">
        <v>1218004.86</v>
      </c>
      <c r="H9" s="8">
        <v>1218004.86</v>
      </c>
    </row>
    <row r="10" spans="1:8" ht="12.75">
      <c r="A10" s="9" t="s">
        <v>8</v>
      </c>
      <c r="B10" s="125" t="s">
        <v>9</v>
      </c>
      <c r="C10" s="126"/>
      <c r="D10" s="10">
        <f>25451.19+70028.34+483.11+701753.51</f>
        <v>797716.15</v>
      </c>
      <c r="E10" s="10">
        <f>23785.56+77200+2497+800000</f>
        <v>903482.56</v>
      </c>
      <c r="F10" s="10">
        <f>23785.56+77200+2897+832000</f>
        <v>935882.56</v>
      </c>
      <c r="G10" s="10">
        <f>23785.56+77200+597+832000</f>
        <v>933582.56</v>
      </c>
      <c r="H10" s="10">
        <v>933582.56</v>
      </c>
    </row>
    <row r="11" spans="1:8" ht="12.75">
      <c r="A11" s="11"/>
      <c r="B11" s="135"/>
      <c r="C11" s="136"/>
      <c r="D11" s="12"/>
      <c r="E11" s="12"/>
      <c r="F11" s="12"/>
      <c r="G11" s="12"/>
      <c r="H11" s="12"/>
    </row>
    <row r="12" spans="1:8" ht="12.75">
      <c r="A12" s="13"/>
      <c r="B12" s="127" t="s">
        <v>10</v>
      </c>
      <c r="C12" s="124"/>
      <c r="D12" s="14"/>
      <c r="E12" s="14"/>
      <c r="F12" s="14"/>
      <c r="G12" s="14"/>
      <c r="H12" s="14"/>
    </row>
    <row r="13" spans="1:8" ht="12.75">
      <c r="A13" s="13" t="s">
        <v>11</v>
      </c>
      <c r="B13" s="127" t="s">
        <v>12</v>
      </c>
      <c r="C13" s="124"/>
      <c r="D13" s="15">
        <v>25451.19</v>
      </c>
      <c r="E13" s="15">
        <v>23785.56</v>
      </c>
      <c r="F13" s="15">
        <v>23785.56</v>
      </c>
      <c r="G13" s="15">
        <v>23785.56</v>
      </c>
      <c r="H13" s="15">
        <v>23785.56</v>
      </c>
    </row>
    <row r="14" spans="1:8" ht="12.75">
      <c r="A14" s="16"/>
      <c r="B14" s="16" t="s">
        <v>13</v>
      </c>
      <c r="C14" s="16" t="s">
        <v>14</v>
      </c>
      <c r="D14" s="17">
        <v>25451.19</v>
      </c>
      <c r="E14" s="17">
        <v>23785.56</v>
      </c>
      <c r="F14" s="17">
        <v>23785.56</v>
      </c>
      <c r="G14" s="17">
        <v>23785.56</v>
      </c>
      <c r="H14" s="17">
        <v>23785.56</v>
      </c>
    </row>
    <row r="15" spans="1:8" ht="12.75">
      <c r="A15" s="16"/>
      <c r="B15" s="18" t="s">
        <v>15</v>
      </c>
      <c r="C15" s="18" t="s">
        <v>16</v>
      </c>
      <c r="D15" s="19">
        <v>0</v>
      </c>
      <c r="E15" s="19">
        <v>238.90105514632688</v>
      </c>
      <c r="F15" s="19">
        <v>0</v>
      </c>
      <c r="G15" s="19">
        <v>0</v>
      </c>
      <c r="H15" s="19">
        <v>0</v>
      </c>
    </row>
    <row r="16" spans="1:8" ht="12.75">
      <c r="A16" s="16"/>
      <c r="B16" s="18" t="s">
        <v>17</v>
      </c>
      <c r="C16" s="18" t="s">
        <v>18</v>
      </c>
      <c r="D16" s="19">
        <f>25845.91-729.98</f>
        <v>25115.93</v>
      </c>
      <c r="E16" s="19">
        <f>23785.56-238.9-55</f>
        <v>23491.66</v>
      </c>
      <c r="F16" s="19">
        <f>23785.56-55</f>
        <v>23730.56</v>
      </c>
      <c r="G16" s="19">
        <f>23785.56-55</f>
        <v>23730.56</v>
      </c>
      <c r="H16" s="19">
        <f>23785.56-55</f>
        <v>23730.56</v>
      </c>
    </row>
    <row r="17" spans="1:8" ht="12.75">
      <c r="A17" s="16"/>
      <c r="B17" s="18" t="s">
        <v>19</v>
      </c>
      <c r="C17" s="18" t="s">
        <v>20</v>
      </c>
      <c r="D17" s="19">
        <v>729.98</v>
      </c>
      <c r="E17" s="19">
        <v>55</v>
      </c>
      <c r="F17" s="19">
        <v>55</v>
      </c>
      <c r="G17" s="19">
        <v>55</v>
      </c>
      <c r="H17" s="19">
        <v>55</v>
      </c>
    </row>
    <row r="18" spans="1:8" ht="12.75">
      <c r="A18" s="16"/>
      <c r="B18" s="18"/>
      <c r="C18" s="18"/>
      <c r="D18" s="19"/>
      <c r="E18" s="19"/>
      <c r="F18" s="19"/>
      <c r="G18" s="19"/>
      <c r="H18" s="19"/>
    </row>
    <row r="19" spans="1:8" ht="12.75">
      <c r="A19" s="13"/>
      <c r="B19" s="127" t="s">
        <v>10</v>
      </c>
      <c r="C19" s="124"/>
      <c r="D19" s="14"/>
      <c r="E19" s="14"/>
      <c r="F19" s="14"/>
      <c r="G19" s="14"/>
      <c r="H19" s="14"/>
    </row>
    <row r="20" spans="1:8" ht="12.75">
      <c r="A20" s="13" t="s">
        <v>21</v>
      </c>
      <c r="B20" s="127" t="s">
        <v>22</v>
      </c>
      <c r="C20" s="124"/>
      <c r="D20" s="15">
        <v>70028.34</v>
      </c>
      <c r="E20" s="15">
        <v>77200</v>
      </c>
      <c r="F20" s="15">
        <v>77200</v>
      </c>
      <c r="G20" s="15">
        <v>77200</v>
      </c>
      <c r="H20" s="15">
        <v>77200</v>
      </c>
    </row>
    <row r="21" spans="1:8" ht="12.75">
      <c r="A21" s="16"/>
      <c r="B21" s="16" t="s">
        <v>13</v>
      </c>
      <c r="C21" s="16" t="s">
        <v>14</v>
      </c>
      <c r="D21" s="17">
        <v>70028.34</v>
      </c>
      <c r="E21" s="17">
        <v>77200</v>
      </c>
      <c r="F21" s="17">
        <v>77200</v>
      </c>
      <c r="G21" s="17">
        <v>77200</v>
      </c>
      <c r="H21" s="17">
        <v>77200</v>
      </c>
    </row>
    <row r="22" spans="1:8" ht="12.75">
      <c r="A22" s="16"/>
      <c r="B22" s="18" t="s">
        <v>17</v>
      </c>
      <c r="C22" s="18" t="s">
        <v>18</v>
      </c>
      <c r="D22" s="19">
        <f>70028.34-65287.68</f>
        <v>4740.659999999996</v>
      </c>
      <c r="E22" s="19">
        <v>5300</v>
      </c>
      <c r="F22" s="19">
        <f>77200-71900</f>
        <v>5300</v>
      </c>
      <c r="G22" s="19">
        <f>77200-71900</f>
        <v>5300</v>
      </c>
      <c r="H22" s="19">
        <f>77200-71900</f>
        <v>5300</v>
      </c>
    </row>
    <row r="23" spans="1:8" ht="22.5">
      <c r="A23" s="16"/>
      <c r="B23" s="18" t="s">
        <v>23</v>
      </c>
      <c r="C23" s="18" t="s">
        <v>24</v>
      </c>
      <c r="D23" s="19">
        <v>65287.68</v>
      </c>
      <c r="E23" s="19">
        <v>71900</v>
      </c>
      <c r="F23" s="19">
        <v>71900</v>
      </c>
      <c r="G23" s="19">
        <v>71900</v>
      </c>
      <c r="H23" s="19">
        <v>71900</v>
      </c>
    </row>
    <row r="24" spans="1:8" ht="12.75">
      <c r="A24" s="16"/>
      <c r="B24" s="18"/>
      <c r="C24" s="18"/>
      <c r="D24" s="19"/>
      <c r="E24" s="19"/>
      <c r="F24" s="19"/>
      <c r="G24" s="19"/>
      <c r="H24" s="19"/>
    </row>
    <row r="25" spans="1:8" ht="12.75">
      <c r="A25" s="13"/>
      <c r="B25" s="127" t="s">
        <v>10</v>
      </c>
      <c r="C25" s="124"/>
      <c r="D25" s="14"/>
      <c r="E25" s="14"/>
      <c r="F25" s="14"/>
      <c r="G25" s="14"/>
      <c r="H25" s="14"/>
    </row>
    <row r="26" spans="1:8" ht="12.75">
      <c r="A26" s="13" t="s">
        <v>25</v>
      </c>
      <c r="B26" s="127" t="s">
        <v>26</v>
      </c>
      <c r="C26" s="124"/>
      <c r="D26" s="15">
        <v>483.11</v>
      </c>
      <c r="E26" s="15">
        <v>2497</v>
      </c>
      <c r="F26" s="15">
        <v>2897</v>
      </c>
      <c r="G26" s="15">
        <v>597.0004645298295</v>
      </c>
      <c r="H26" s="15">
        <v>597.0004645298295</v>
      </c>
    </row>
    <row r="27" spans="1:8" ht="12.75">
      <c r="A27" s="16"/>
      <c r="B27" s="16" t="s">
        <v>13</v>
      </c>
      <c r="C27" s="16" t="s">
        <v>14</v>
      </c>
      <c r="D27" s="17">
        <v>483.11</v>
      </c>
      <c r="E27" s="17">
        <v>2497</v>
      </c>
      <c r="F27" s="17">
        <v>2897</v>
      </c>
      <c r="G27" s="17">
        <v>597.0004645298295</v>
      </c>
      <c r="H27" s="17">
        <v>597.0004645298295</v>
      </c>
    </row>
    <row r="28" spans="1:8" ht="12.75">
      <c r="A28" s="16"/>
      <c r="B28" s="27">
        <v>31</v>
      </c>
      <c r="C28" s="27" t="s">
        <v>16</v>
      </c>
      <c r="D28" s="28">
        <v>0</v>
      </c>
      <c r="E28" s="28">
        <v>700</v>
      </c>
      <c r="F28" s="28">
        <f>680+120</f>
        <v>800</v>
      </c>
      <c r="G28" s="28">
        <v>0</v>
      </c>
      <c r="H28" s="28">
        <v>0</v>
      </c>
    </row>
    <row r="29" spans="1:8" ht="12.75">
      <c r="A29" s="16"/>
      <c r="B29" s="18" t="s">
        <v>17</v>
      </c>
      <c r="C29" s="18" t="s">
        <v>18</v>
      </c>
      <c r="D29" s="19">
        <v>483.11</v>
      </c>
      <c r="E29" s="19">
        <v>1797</v>
      </c>
      <c r="F29" s="19">
        <v>2097</v>
      </c>
      <c r="G29" s="19">
        <v>597.0004645298295</v>
      </c>
      <c r="H29" s="19">
        <v>597.0004645298295</v>
      </c>
    </row>
    <row r="30" spans="1:8" ht="12.75">
      <c r="A30" s="13"/>
      <c r="B30" s="127" t="s">
        <v>10</v>
      </c>
      <c r="C30" s="124"/>
      <c r="D30" s="14"/>
      <c r="E30" s="14"/>
      <c r="F30" s="14"/>
      <c r="G30" s="14"/>
      <c r="H30" s="14"/>
    </row>
    <row r="31" spans="1:8" ht="12.75">
      <c r="A31" s="13" t="s">
        <v>27</v>
      </c>
      <c r="B31" s="127" t="s">
        <v>28</v>
      </c>
      <c r="C31" s="124"/>
      <c r="D31" s="15">
        <v>701753.51</v>
      </c>
      <c r="E31" s="15">
        <v>800000</v>
      </c>
      <c r="F31" s="15">
        <v>832000</v>
      </c>
      <c r="G31" s="15">
        <v>832000</v>
      </c>
      <c r="H31" s="15">
        <v>832000</v>
      </c>
    </row>
    <row r="32" spans="1:8" ht="12.75">
      <c r="A32" s="16"/>
      <c r="B32" s="16" t="s">
        <v>13</v>
      </c>
      <c r="C32" s="16" t="s">
        <v>14</v>
      </c>
      <c r="D32" s="17">
        <v>701753.51</v>
      </c>
      <c r="E32" s="17">
        <v>800000</v>
      </c>
      <c r="F32" s="17">
        <v>832000</v>
      </c>
      <c r="G32" s="17">
        <v>832000</v>
      </c>
      <c r="H32" s="17">
        <v>832000</v>
      </c>
    </row>
    <row r="33" spans="1:8" ht="12.75">
      <c r="A33" s="16"/>
      <c r="B33" s="18" t="s">
        <v>15</v>
      </c>
      <c r="C33" s="18" t="s">
        <v>16</v>
      </c>
      <c r="D33" s="19">
        <f>701753.51-27461.83-1842.83</f>
        <v>672448.8500000001</v>
      </c>
      <c r="E33" s="19">
        <f>800000-700-31030</f>
        <v>768270</v>
      </c>
      <c r="F33" s="19">
        <f>832000-28000</f>
        <v>804000</v>
      </c>
      <c r="G33" s="19">
        <f>832000-28000</f>
        <v>804000</v>
      </c>
      <c r="H33" s="19">
        <f>832000-28000</f>
        <v>804000</v>
      </c>
    </row>
    <row r="34" spans="1:8" ht="12.75">
      <c r="A34" s="16"/>
      <c r="B34" s="18" t="s">
        <v>17</v>
      </c>
      <c r="C34" s="18" t="s">
        <v>18</v>
      </c>
      <c r="D34" s="19">
        <f>25281.86+1516.36+663.61</f>
        <v>27461.83</v>
      </c>
      <c r="E34" s="19">
        <f>28000+130+2600+300</f>
        <v>31030</v>
      </c>
      <c r="F34" s="19">
        <v>28000</v>
      </c>
      <c r="G34" s="19">
        <v>28000</v>
      </c>
      <c r="H34" s="19">
        <v>28000</v>
      </c>
    </row>
    <row r="35" spans="1:8" ht="12.75">
      <c r="A35" s="16"/>
      <c r="B35" s="18" t="s">
        <v>19</v>
      </c>
      <c r="C35" s="18" t="s">
        <v>20</v>
      </c>
      <c r="D35" s="19">
        <v>1842.83</v>
      </c>
      <c r="E35" s="19">
        <v>700</v>
      </c>
      <c r="F35" s="19">
        <v>0</v>
      </c>
      <c r="G35" s="19">
        <v>0</v>
      </c>
      <c r="H35" s="19">
        <v>0</v>
      </c>
    </row>
    <row r="36" spans="1:8" ht="12.75">
      <c r="A36" s="16"/>
      <c r="B36" s="18"/>
      <c r="C36" s="18"/>
      <c r="D36" s="19"/>
      <c r="E36" s="19"/>
      <c r="F36" s="19"/>
      <c r="G36" s="19"/>
      <c r="H36" s="19"/>
    </row>
    <row r="37" spans="1:8" ht="12.75">
      <c r="A37" s="9" t="s">
        <v>29</v>
      </c>
      <c r="B37" s="125" t="s">
        <v>30</v>
      </c>
      <c r="C37" s="126"/>
      <c r="D37" s="10">
        <v>21257.6</v>
      </c>
      <c r="E37" s="10">
        <v>36777.81</v>
      </c>
      <c r="F37" s="10">
        <v>89850</v>
      </c>
      <c r="G37" s="10">
        <v>33500</v>
      </c>
      <c r="H37" s="10">
        <v>33500</v>
      </c>
    </row>
    <row r="38" spans="1:8" ht="12.75">
      <c r="A38" s="13"/>
      <c r="B38" s="127" t="s">
        <v>10</v>
      </c>
      <c r="C38" s="124"/>
      <c r="D38" s="14"/>
      <c r="E38" s="14"/>
      <c r="F38" s="14"/>
      <c r="G38" s="14"/>
      <c r="H38" s="14"/>
    </row>
    <row r="39" spans="1:8" ht="12.75">
      <c r="A39" s="13" t="s">
        <v>31</v>
      </c>
      <c r="B39" s="127" t="s">
        <v>32</v>
      </c>
      <c r="C39" s="124"/>
      <c r="D39" s="15">
        <f>D40</f>
        <v>70028.34</v>
      </c>
      <c r="E39" s="15">
        <v>36777.81</v>
      </c>
      <c r="F39" s="15">
        <v>89850</v>
      </c>
      <c r="G39" s="15">
        <v>33500</v>
      </c>
      <c r="H39" s="15">
        <v>33500</v>
      </c>
    </row>
    <row r="40" spans="1:8" ht="12.75">
      <c r="A40" s="16"/>
      <c r="B40" s="16" t="s">
        <v>13</v>
      </c>
      <c r="C40" s="16" t="s">
        <v>14</v>
      </c>
      <c r="D40" s="17">
        <f>D41+D42</f>
        <v>70028.34</v>
      </c>
      <c r="E40" s="17">
        <v>36777.81</v>
      </c>
      <c r="F40" s="17">
        <v>89850</v>
      </c>
      <c r="G40" s="17">
        <v>33500</v>
      </c>
      <c r="H40" s="17">
        <v>33500</v>
      </c>
    </row>
    <row r="41" spans="1:8" ht="12.75">
      <c r="A41" s="16"/>
      <c r="B41" s="18" t="s">
        <v>17</v>
      </c>
      <c r="C41" s="18" t="s">
        <v>18</v>
      </c>
      <c r="D41" s="19">
        <v>4740.66</v>
      </c>
      <c r="E41" s="19">
        <v>36777.81</v>
      </c>
      <c r="F41" s="19">
        <v>33500</v>
      </c>
      <c r="G41" s="19">
        <v>33500</v>
      </c>
      <c r="H41" s="19">
        <v>33500</v>
      </c>
    </row>
    <row r="42" spans="1:8" ht="22.5">
      <c r="A42" s="16"/>
      <c r="B42" s="18">
        <v>37</v>
      </c>
      <c r="C42" s="27" t="s">
        <v>113</v>
      </c>
      <c r="D42" s="19">
        <v>65287.68</v>
      </c>
      <c r="E42" s="19">
        <v>0</v>
      </c>
      <c r="F42" s="19">
        <v>56350</v>
      </c>
      <c r="G42" s="19">
        <v>0</v>
      </c>
      <c r="H42" s="19">
        <v>0</v>
      </c>
    </row>
    <row r="43" spans="1:8" ht="12.75">
      <c r="A43" s="9" t="s">
        <v>33</v>
      </c>
      <c r="B43" s="125" t="s">
        <v>34</v>
      </c>
      <c r="C43" s="126"/>
      <c r="D43" s="10">
        <v>161753.53</v>
      </c>
      <c r="E43" s="10">
        <v>143643.67</v>
      </c>
      <c r="F43" s="10">
        <v>174854.54</v>
      </c>
      <c r="G43" s="10">
        <v>174854.54</v>
      </c>
      <c r="H43" s="10">
        <v>174854.54</v>
      </c>
    </row>
    <row r="44" spans="1:8" ht="12.75">
      <c r="A44" s="11"/>
      <c r="B44" s="135"/>
      <c r="C44" s="136"/>
      <c r="D44" s="12"/>
      <c r="E44" s="12"/>
      <c r="F44" s="12"/>
      <c r="G44" s="12"/>
      <c r="H44" s="12"/>
    </row>
    <row r="45" spans="1:8" ht="12.75">
      <c r="A45" s="13"/>
      <c r="B45" s="127" t="s">
        <v>35</v>
      </c>
      <c r="C45" s="124"/>
      <c r="D45" s="14"/>
      <c r="E45" s="14"/>
      <c r="F45" s="14"/>
      <c r="G45" s="14"/>
      <c r="H45" s="14"/>
    </row>
    <row r="46" spans="1:8" ht="12.75">
      <c r="A46" s="13" t="s">
        <v>36</v>
      </c>
      <c r="B46" s="127" t="s">
        <v>37</v>
      </c>
      <c r="C46" s="124"/>
      <c r="D46" s="15">
        <v>0</v>
      </c>
      <c r="E46" s="15">
        <v>363.13</v>
      </c>
      <c r="F46" s="15">
        <v>0</v>
      </c>
      <c r="G46" s="15">
        <v>0</v>
      </c>
      <c r="H46" s="15">
        <v>0</v>
      </c>
    </row>
    <row r="47" spans="1:8" ht="12.75">
      <c r="A47" s="16"/>
      <c r="B47" s="16" t="s">
        <v>13</v>
      </c>
      <c r="C47" s="16" t="s">
        <v>14</v>
      </c>
      <c r="D47" s="17">
        <v>0</v>
      </c>
      <c r="E47" s="17">
        <v>363.13</v>
      </c>
      <c r="F47" s="17">
        <v>0</v>
      </c>
      <c r="G47" s="17">
        <v>0</v>
      </c>
      <c r="H47" s="17">
        <v>0</v>
      </c>
    </row>
    <row r="48" spans="1:8" ht="12.75">
      <c r="A48" s="16"/>
      <c r="B48" s="27">
        <v>31</v>
      </c>
      <c r="C48" s="27" t="s">
        <v>16</v>
      </c>
      <c r="D48" s="28">
        <v>0</v>
      </c>
      <c r="E48" s="28">
        <f>68.35+11.28</f>
        <v>79.63</v>
      </c>
      <c r="F48" s="28">
        <v>0</v>
      </c>
      <c r="G48" s="28">
        <v>0</v>
      </c>
      <c r="H48" s="28">
        <v>0</v>
      </c>
    </row>
    <row r="49" spans="1:8" ht="12.75">
      <c r="A49" s="16"/>
      <c r="B49" s="18" t="s">
        <v>17</v>
      </c>
      <c r="C49" s="18" t="s">
        <v>18</v>
      </c>
      <c r="D49" s="19">
        <v>0</v>
      </c>
      <c r="E49" s="19">
        <f>115.91+16.59</f>
        <v>132.5</v>
      </c>
      <c r="F49" s="19">
        <v>0</v>
      </c>
      <c r="G49" s="19">
        <v>0</v>
      </c>
      <c r="H49" s="19">
        <v>0</v>
      </c>
    </row>
    <row r="50" spans="1:8" ht="22.5">
      <c r="A50" s="16"/>
      <c r="B50" s="18" t="s">
        <v>23</v>
      </c>
      <c r="C50" s="18" t="s">
        <v>24</v>
      </c>
      <c r="D50" s="19">
        <v>0</v>
      </c>
      <c r="E50" s="19">
        <f>363.13-79.63-132.5</f>
        <v>151</v>
      </c>
      <c r="F50" s="19">
        <v>0</v>
      </c>
      <c r="G50" s="19">
        <v>0</v>
      </c>
      <c r="H50" s="19">
        <v>0</v>
      </c>
    </row>
    <row r="51" spans="1:8" ht="12.75">
      <c r="A51" s="13"/>
      <c r="B51" s="127" t="s">
        <v>10</v>
      </c>
      <c r="C51" s="124"/>
      <c r="D51" s="14"/>
      <c r="E51" s="14"/>
      <c r="F51" s="14"/>
      <c r="G51" s="14"/>
      <c r="H51" s="14"/>
    </row>
    <row r="52" spans="1:8" ht="12.75">
      <c r="A52" s="13" t="s">
        <v>38</v>
      </c>
      <c r="B52" s="127" t="s">
        <v>39</v>
      </c>
      <c r="C52" s="124"/>
      <c r="D52" s="15">
        <v>64388.73</v>
      </c>
      <c r="E52" s="15">
        <v>36000</v>
      </c>
      <c r="F52" s="15">
        <v>49500</v>
      </c>
      <c r="G52" s="15">
        <v>49500</v>
      </c>
      <c r="H52" s="15">
        <v>49500</v>
      </c>
    </row>
    <row r="53" spans="1:8" ht="12.75">
      <c r="A53" s="16"/>
      <c r="B53" s="16" t="s">
        <v>13</v>
      </c>
      <c r="C53" s="16" t="s">
        <v>14</v>
      </c>
      <c r="D53" s="17">
        <v>64388.73</v>
      </c>
      <c r="E53" s="17">
        <v>36000</v>
      </c>
      <c r="F53" s="17">
        <v>49500</v>
      </c>
      <c r="G53" s="17">
        <v>49500</v>
      </c>
      <c r="H53" s="17">
        <v>49500</v>
      </c>
    </row>
    <row r="54" spans="1:8" ht="12.75">
      <c r="A54" s="16"/>
      <c r="B54" s="18" t="s">
        <v>17</v>
      </c>
      <c r="C54" s="18" t="s">
        <v>18</v>
      </c>
      <c r="D54" s="19">
        <f>64388-73-159.27</f>
        <v>64155.73</v>
      </c>
      <c r="E54" s="19">
        <f>36000-159.27</f>
        <v>35840.73</v>
      </c>
      <c r="F54" s="19">
        <v>48500</v>
      </c>
      <c r="G54" s="19">
        <v>48500</v>
      </c>
      <c r="H54" s="19">
        <f>H53-H55</f>
        <v>48500</v>
      </c>
    </row>
    <row r="55" spans="1:8" ht="12.75">
      <c r="A55" s="16"/>
      <c r="B55" s="18" t="s">
        <v>19</v>
      </c>
      <c r="C55" s="18" t="s">
        <v>20</v>
      </c>
      <c r="D55" s="19">
        <v>159.26737009755126</v>
      </c>
      <c r="E55" s="19">
        <v>159.26737009755126</v>
      </c>
      <c r="F55" s="19">
        <v>1000</v>
      </c>
      <c r="G55" s="19">
        <v>1000</v>
      </c>
      <c r="H55" s="19">
        <v>1000</v>
      </c>
    </row>
    <row r="56" spans="1:8" ht="12.75">
      <c r="A56" s="13"/>
      <c r="B56" s="127" t="s">
        <v>10</v>
      </c>
      <c r="C56" s="124"/>
      <c r="D56" s="14"/>
      <c r="E56" s="14"/>
      <c r="F56" s="14"/>
      <c r="G56" s="14"/>
      <c r="H56" s="14"/>
    </row>
    <row r="57" spans="1:8" ht="12.75">
      <c r="A57" s="13" t="s">
        <v>40</v>
      </c>
      <c r="B57" s="127" t="s">
        <v>41</v>
      </c>
      <c r="C57" s="124"/>
      <c r="D57" s="15">
        <v>87331.12</v>
      </c>
      <c r="E57" s="15">
        <v>87650</v>
      </c>
      <c r="F57" s="15">
        <v>104260</v>
      </c>
      <c r="G57" s="15">
        <v>104260</v>
      </c>
      <c r="H57" s="15">
        <v>104260</v>
      </c>
    </row>
    <row r="58" spans="1:8" ht="12.75">
      <c r="A58" s="16"/>
      <c r="B58" s="16" t="s">
        <v>13</v>
      </c>
      <c r="C58" s="16" t="s">
        <v>14</v>
      </c>
      <c r="D58" s="17">
        <v>87331.12</v>
      </c>
      <c r="E58" s="17">
        <v>87650</v>
      </c>
      <c r="F58" s="17">
        <v>104260</v>
      </c>
      <c r="G58" s="17">
        <v>104260</v>
      </c>
      <c r="H58" s="17">
        <v>104260</v>
      </c>
    </row>
    <row r="59" spans="1:8" ht="12.75">
      <c r="A59" s="16"/>
      <c r="B59" s="18" t="s">
        <v>15</v>
      </c>
      <c r="C59" s="18" t="s">
        <v>16</v>
      </c>
      <c r="D59" s="19">
        <f>45789.55+6193.15+8623.27+18819.93+2448.22+3649.67</f>
        <v>85523.79</v>
      </c>
      <c r="E59" s="19">
        <f>87650-3400</f>
        <v>84250</v>
      </c>
      <c r="F59" s="19">
        <f>104260-4400</f>
        <v>99860</v>
      </c>
      <c r="G59" s="19">
        <f>104260-4400</f>
        <v>99860</v>
      </c>
      <c r="H59" s="19">
        <f>104260-4400</f>
        <v>99860</v>
      </c>
    </row>
    <row r="60" spans="1:8" ht="12.75">
      <c r="A60" s="16"/>
      <c r="B60" s="18" t="s">
        <v>17</v>
      </c>
      <c r="C60" s="18" t="s">
        <v>18</v>
      </c>
      <c r="D60" s="19">
        <f>534.07+1273.26</f>
        <v>1807.33</v>
      </c>
      <c r="E60" s="19">
        <f>931.28+278.72+2057.28+132.72</f>
        <v>3400</v>
      </c>
      <c r="F60" s="19">
        <f>1285+130+2715+270</f>
        <v>4400</v>
      </c>
      <c r="G60" s="19">
        <v>4400</v>
      </c>
      <c r="H60" s="19">
        <v>4400</v>
      </c>
    </row>
    <row r="61" spans="1:8" ht="12.75">
      <c r="A61" s="13"/>
      <c r="B61" s="127" t="s">
        <v>10</v>
      </c>
      <c r="C61" s="124"/>
      <c r="D61" s="14"/>
      <c r="E61" s="14"/>
      <c r="F61" s="14"/>
      <c r="G61" s="14"/>
      <c r="H61" s="14"/>
    </row>
    <row r="62" spans="1:8" ht="12.75">
      <c r="A62" s="13" t="s">
        <v>42</v>
      </c>
      <c r="B62" s="127" t="s">
        <v>43</v>
      </c>
      <c r="C62" s="124"/>
      <c r="D62" s="15">
        <v>1227.68</v>
      </c>
      <c r="E62" s="15">
        <v>1235</v>
      </c>
      <c r="F62" s="15">
        <v>1535</v>
      </c>
      <c r="G62" s="15">
        <v>1535</v>
      </c>
      <c r="H62" s="15">
        <v>1535</v>
      </c>
    </row>
    <row r="63" spans="1:8" ht="12.75">
      <c r="A63" s="16"/>
      <c r="B63" s="16" t="s">
        <v>13</v>
      </c>
      <c r="C63" s="16" t="s">
        <v>14</v>
      </c>
      <c r="D63" s="17">
        <v>1227.68</v>
      </c>
      <c r="E63" s="17">
        <v>1235</v>
      </c>
      <c r="F63" s="17">
        <v>1535</v>
      </c>
      <c r="G63" s="17">
        <v>1535</v>
      </c>
      <c r="H63" s="17">
        <v>1535</v>
      </c>
    </row>
    <row r="64" spans="1:8" ht="12.75">
      <c r="A64" s="16"/>
      <c r="B64" s="18" t="s">
        <v>17</v>
      </c>
      <c r="C64" s="18" t="s">
        <v>18</v>
      </c>
      <c r="D64" s="19">
        <v>1227.68</v>
      </c>
      <c r="E64" s="19">
        <v>1235</v>
      </c>
      <c r="F64" s="19">
        <v>1535</v>
      </c>
      <c r="G64" s="19">
        <v>1535</v>
      </c>
      <c r="H64" s="19">
        <v>1535</v>
      </c>
    </row>
    <row r="65" spans="1:8" ht="12.75">
      <c r="A65" s="13"/>
      <c r="B65" s="127" t="s">
        <v>10</v>
      </c>
      <c r="C65" s="124"/>
      <c r="D65" s="14"/>
      <c r="E65" s="14"/>
      <c r="F65" s="14"/>
      <c r="G65" s="14"/>
      <c r="H65" s="14"/>
    </row>
    <row r="66" spans="1:8" ht="12.75">
      <c r="A66" s="13" t="s">
        <v>44</v>
      </c>
      <c r="B66" s="127" t="s">
        <v>45</v>
      </c>
      <c r="C66" s="124"/>
      <c r="D66" s="15">
        <v>1211.7</v>
      </c>
      <c r="E66" s="15">
        <v>4500</v>
      </c>
      <c r="F66" s="15">
        <v>4500.001327228084</v>
      </c>
      <c r="G66" s="15">
        <v>4500.001327228084</v>
      </c>
      <c r="H66" s="15">
        <v>4500.001327228084</v>
      </c>
    </row>
    <row r="67" spans="1:8" ht="12.75">
      <c r="A67" s="16"/>
      <c r="B67" s="16" t="s">
        <v>13</v>
      </c>
      <c r="C67" s="16" t="s">
        <v>14</v>
      </c>
      <c r="D67" s="17">
        <v>1211.7</v>
      </c>
      <c r="E67" s="17">
        <v>4500</v>
      </c>
      <c r="F67" s="17">
        <v>4500.001327228084</v>
      </c>
      <c r="G67" s="17">
        <v>4500.001327228084</v>
      </c>
      <c r="H67" s="17">
        <v>4500.001327228084</v>
      </c>
    </row>
    <row r="68" spans="1:8" ht="12.75">
      <c r="A68" s="16"/>
      <c r="B68" s="18" t="s">
        <v>17</v>
      </c>
      <c r="C68" s="18" t="s">
        <v>18</v>
      </c>
      <c r="D68" s="19">
        <v>1211.7</v>
      </c>
      <c r="E68" s="19">
        <v>4500</v>
      </c>
      <c r="F68" s="19">
        <v>4500.001327228084</v>
      </c>
      <c r="G68" s="19">
        <v>4500.001327228084</v>
      </c>
      <c r="H68" s="19">
        <v>4500.001327228084</v>
      </c>
    </row>
    <row r="69" spans="1:8" ht="12.75">
      <c r="A69" s="16"/>
      <c r="B69" s="18"/>
      <c r="C69" s="18"/>
      <c r="D69" s="19"/>
      <c r="E69" s="19"/>
      <c r="F69" s="19"/>
      <c r="G69" s="19"/>
      <c r="H69" s="19"/>
    </row>
    <row r="70" spans="1:8" ht="12.75">
      <c r="A70" s="13"/>
      <c r="B70" s="127" t="s">
        <v>35</v>
      </c>
      <c r="C70" s="124"/>
      <c r="D70" s="14"/>
      <c r="E70" s="14"/>
      <c r="F70" s="14"/>
      <c r="G70" s="14"/>
      <c r="H70" s="14"/>
    </row>
    <row r="71" spans="1:8" ht="12.75">
      <c r="A71" s="13" t="s">
        <v>46</v>
      </c>
      <c r="B71" s="127" t="s">
        <v>47</v>
      </c>
      <c r="C71" s="124"/>
      <c r="D71" s="15">
        <v>536.6</v>
      </c>
      <c r="E71" s="15">
        <v>660</v>
      </c>
      <c r="F71" s="15">
        <v>665</v>
      </c>
      <c r="G71" s="15">
        <v>665</v>
      </c>
      <c r="H71" s="15">
        <v>665</v>
      </c>
    </row>
    <row r="72" spans="1:8" ht="12.75">
      <c r="A72" s="16"/>
      <c r="B72" s="16" t="s">
        <v>13</v>
      </c>
      <c r="C72" s="16" t="s">
        <v>14</v>
      </c>
      <c r="D72" s="17">
        <v>536.6</v>
      </c>
      <c r="E72" s="17">
        <v>660</v>
      </c>
      <c r="F72" s="17">
        <v>665</v>
      </c>
      <c r="G72" s="17">
        <v>665</v>
      </c>
      <c r="H72" s="17">
        <v>665</v>
      </c>
    </row>
    <row r="73" spans="1:8" ht="12.75">
      <c r="A73" s="16"/>
      <c r="B73" s="18" t="s">
        <v>17</v>
      </c>
      <c r="C73" s="18" t="s">
        <v>18</v>
      </c>
      <c r="D73" s="19">
        <v>536.6</v>
      </c>
      <c r="E73" s="19">
        <v>660</v>
      </c>
      <c r="F73" s="19">
        <v>665</v>
      </c>
      <c r="G73" s="19">
        <v>665</v>
      </c>
      <c r="H73" s="19">
        <v>665</v>
      </c>
    </row>
    <row r="74" spans="1:8" ht="12.75">
      <c r="A74" s="13"/>
      <c r="B74" s="127" t="s">
        <v>10</v>
      </c>
      <c r="C74" s="124"/>
      <c r="D74" s="14"/>
      <c r="E74" s="14"/>
      <c r="F74" s="14"/>
      <c r="G74" s="14"/>
      <c r="H74" s="14"/>
    </row>
    <row r="75" spans="1:8" ht="12.75">
      <c r="A75" s="13" t="s">
        <v>48</v>
      </c>
      <c r="B75" s="127" t="s">
        <v>49</v>
      </c>
      <c r="C75" s="124"/>
      <c r="D75" s="15">
        <v>809.17</v>
      </c>
      <c r="E75" s="15">
        <v>1980</v>
      </c>
      <c r="F75" s="15">
        <v>1980</v>
      </c>
      <c r="G75" s="15">
        <v>1980</v>
      </c>
      <c r="H75" s="15">
        <v>1980</v>
      </c>
    </row>
    <row r="76" spans="1:8" ht="12.75">
      <c r="A76" s="16"/>
      <c r="B76" s="16" t="s">
        <v>13</v>
      </c>
      <c r="C76" s="16" t="s">
        <v>14</v>
      </c>
      <c r="D76" s="17">
        <v>809.17</v>
      </c>
      <c r="E76" s="17">
        <v>1980</v>
      </c>
      <c r="F76" s="17">
        <v>1979.9999999999998</v>
      </c>
      <c r="G76" s="17">
        <v>1979.9999999999998</v>
      </c>
      <c r="H76" s="17">
        <v>1979.9999999999998</v>
      </c>
    </row>
    <row r="77" spans="1:8" ht="12.75">
      <c r="A77" s="16"/>
      <c r="B77" s="18" t="s">
        <v>17</v>
      </c>
      <c r="C77" s="18" t="s">
        <v>18</v>
      </c>
      <c r="D77" s="19">
        <v>809.17</v>
      </c>
      <c r="E77" s="19">
        <v>1980</v>
      </c>
      <c r="F77" s="19">
        <v>1979.9999999999998</v>
      </c>
      <c r="G77" s="19">
        <v>1979.9999999999998</v>
      </c>
      <c r="H77" s="19">
        <v>1979.9999999999998</v>
      </c>
    </row>
    <row r="78" spans="1:8" ht="12.75">
      <c r="A78" s="13"/>
      <c r="B78" s="127" t="s">
        <v>10</v>
      </c>
      <c r="C78" s="124"/>
      <c r="D78" s="14"/>
      <c r="E78" s="14"/>
      <c r="F78" s="14"/>
      <c r="G78" s="14"/>
      <c r="H78" s="14"/>
    </row>
    <row r="79" spans="1:8" ht="12.75">
      <c r="A79" s="13" t="s">
        <v>50</v>
      </c>
      <c r="B79" s="127" t="s">
        <v>51</v>
      </c>
      <c r="C79" s="124"/>
      <c r="D79" s="15">
        <v>265.45</v>
      </c>
      <c r="E79" s="15">
        <v>270</v>
      </c>
      <c r="F79" s="15">
        <v>280</v>
      </c>
      <c r="G79" s="15">
        <v>280</v>
      </c>
      <c r="H79" s="15">
        <v>280</v>
      </c>
    </row>
    <row r="80" spans="1:8" ht="12.75">
      <c r="A80" s="16"/>
      <c r="B80" s="16" t="s">
        <v>52</v>
      </c>
      <c r="C80" s="16" t="s">
        <v>53</v>
      </c>
      <c r="D80" s="17">
        <v>265.45</v>
      </c>
      <c r="E80" s="17">
        <v>270</v>
      </c>
      <c r="F80" s="17">
        <v>280</v>
      </c>
      <c r="G80" s="17">
        <v>280</v>
      </c>
      <c r="H80" s="17">
        <v>280</v>
      </c>
    </row>
    <row r="81" spans="1:8" ht="22.5">
      <c r="A81" s="16"/>
      <c r="B81" s="18" t="s">
        <v>54</v>
      </c>
      <c r="C81" s="18" t="s">
        <v>55</v>
      </c>
      <c r="D81" s="19">
        <v>265.45</v>
      </c>
      <c r="E81" s="19">
        <v>270</v>
      </c>
      <c r="F81" s="19">
        <v>280</v>
      </c>
      <c r="G81" s="19">
        <v>280</v>
      </c>
      <c r="H81" s="19">
        <v>280</v>
      </c>
    </row>
    <row r="82" spans="1:8" ht="12.75">
      <c r="A82" s="13"/>
      <c r="B82" s="127" t="s">
        <v>35</v>
      </c>
      <c r="C82" s="124"/>
      <c r="D82" s="14"/>
      <c r="E82" s="14"/>
      <c r="F82" s="14"/>
      <c r="G82" s="14"/>
      <c r="H82" s="14"/>
    </row>
    <row r="83" spans="1:8" ht="12.75">
      <c r="A83" s="13" t="s">
        <v>56</v>
      </c>
      <c r="B83" s="127" t="s">
        <v>57</v>
      </c>
      <c r="C83" s="124"/>
      <c r="D83" s="15">
        <v>398.17</v>
      </c>
      <c r="E83" s="15">
        <v>930</v>
      </c>
      <c r="F83" s="15">
        <v>930.0006636140421</v>
      </c>
      <c r="G83" s="15">
        <v>930.0006636140421</v>
      </c>
      <c r="H83" s="15">
        <v>930.0006636140421</v>
      </c>
    </row>
    <row r="84" spans="1:8" ht="12.75">
      <c r="A84" s="16"/>
      <c r="B84" s="16" t="s">
        <v>13</v>
      </c>
      <c r="C84" s="16" t="s">
        <v>14</v>
      </c>
      <c r="D84" s="17">
        <v>398.17</v>
      </c>
      <c r="E84" s="17">
        <v>930</v>
      </c>
      <c r="F84" s="17">
        <v>930.0006636140421</v>
      </c>
      <c r="G84" s="17">
        <v>930.0006636140421</v>
      </c>
      <c r="H84" s="17">
        <v>930.0006636140421</v>
      </c>
    </row>
    <row r="85" spans="1:8" ht="12.75">
      <c r="A85" s="16"/>
      <c r="B85" s="18" t="s">
        <v>17</v>
      </c>
      <c r="C85" s="18" t="s">
        <v>18</v>
      </c>
      <c r="D85" s="19">
        <v>398.17</v>
      </c>
      <c r="E85" s="19">
        <v>930</v>
      </c>
      <c r="F85" s="19">
        <v>930.0006636140421</v>
      </c>
      <c r="G85" s="19">
        <v>930.0006636140421</v>
      </c>
      <c r="H85" s="19">
        <v>930.0006636140421</v>
      </c>
    </row>
    <row r="86" spans="1:8" ht="12.75">
      <c r="A86" s="13"/>
      <c r="B86" s="127" t="s">
        <v>10</v>
      </c>
      <c r="C86" s="124"/>
      <c r="D86" s="14"/>
      <c r="E86" s="14">
        <v>1000</v>
      </c>
      <c r="F86" s="14"/>
      <c r="G86" s="14"/>
      <c r="H86" s="14"/>
    </row>
    <row r="87" spans="1:8" ht="12.75">
      <c r="A87" s="13" t="s">
        <v>58</v>
      </c>
      <c r="B87" s="127" t="s">
        <v>59</v>
      </c>
      <c r="C87" s="124"/>
      <c r="D87" s="15">
        <v>579.94</v>
      </c>
      <c r="E87" s="15">
        <v>1000</v>
      </c>
      <c r="F87" s="15">
        <v>1454</v>
      </c>
      <c r="G87" s="15">
        <v>1454</v>
      </c>
      <c r="H87" s="15">
        <v>1454</v>
      </c>
    </row>
    <row r="88" spans="1:8" ht="12.75">
      <c r="A88" s="16"/>
      <c r="B88" s="16" t="s">
        <v>13</v>
      </c>
      <c r="C88" s="16" t="s">
        <v>14</v>
      </c>
      <c r="D88" s="17">
        <v>579.94</v>
      </c>
      <c r="E88" s="17">
        <v>867</v>
      </c>
      <c r="F88" s="17">
        <v>1304</v>
      </c>
      <c r="G88" s="17">
        <v>1304</v>
      </c>
      <c r="H88" s="17">
        <v>1304</v>
      </c>
    </row>
    <row r="89" spans="1:8" ht="12.75">
      <c r="A89" s="16"/>
      <c r="B89" s="18" t="s">
        <v>17</v>
      </c>
      <c r="C89" s="18" t="s">
        <v>18</v>
      </c>
      <c r="D89" s="19">
        <v>579.94</v>
      </c>
      <c r="E89" s="19">
        <f>1000-133</f>
        <v>867</v>
      </c>
      <c r="F89" s="19">
        <f>1454-150</f>
        <v>1304</v>
      </c>
      <c r="G89" s="19">
        <f>G87-G91</f>
        <v>1304</v>
      </c>
      <c r="H89" s="19">
        <v>1304</v>
      </c>
    </row>
    <row r="90" spans="1:8" ht="12.75">
      <c r="A90" s="16"/>
      <c r="B90" s="16" t="s">
        <v>52</v>
      </c>
      <c r="C90" s="16" t="s">
        <v>53</v>
      </c>
      <c r="D90" s="17">
        <v>0</v>
      </c>
      <c r="E90" s="17">
        <v>133</v>
      </c>
      <c r="F90" s="17">
        <v>150</v>
      </c>
      <c r="G90" s="17">
        <v>150</v>
      </c>
      <c r="H90" s="17">
        <v>150</v>
      </c>
    </row>
    <row r="91" spans="1:8" ht="22.5">
      <c r="A91" s="16"/>
      <c r="B91" s="18" t="s">
        <v>54</v>
      </c>
      <c r="C91" s="18" t="s">
        <v>55</v>
      </c>
      <c r="D91" s="19">
        <v>0</v>
      </c>
      <c r="E91" s="19">
        <f>39.3+93.7</f>
        <v>133</v>
      </c>
      <c r="F91" s="19">
        <f>102+48</f>
        <v>150</v>
      </c>
      <c r="G91" s="19">
        <v>150</v>
      </c>
      <c r="H91" s="19">
        <v>150</v>
      </c>
    </row>
    <row r="92" spans="1:8" ht="12.75">
      <c r="A92" s="16"/>
      <c r="B92" s="18"/>
      <c r="C92" s="18"/>
      <c r="D92" s="19"/>
      <c r="E92" s="19"/>
      <c r="F92" s="19"/>
      <c r="G92" s="19"/>
      <c r="H92" s="19"/>
    </row>
    <row r="93" spans="1:8" ht="12.75">
      <c r="A93" s="13"/>
      <c r="B93" s="127" t="s">
        <v>35</v>
      </c>
      <c r="C93" s="124"/>
      <c r="D93" s="14"/>
      <c r="E93" s="14"/>
      <c r="F93" s="14"/>
      <c r="G93" s="14"/>
      <c r="H93" s="14"/>
    </row>
    <row r="94" spans="1:8" ht="12.75">
      <c r="A94" s="13" t="s">
        <v>60</v>
      </c>
      <c r="B94" s="127" t="s">
        <v>61</v>
      </c>
      <c r="C94" s="124"/>
      <c r="D94" s="15">
        <v>99.12</v>
      </c>
      <c r="E94" s="15">
        <v>660</v>
      </c>
      <c r="F94" s="15">
        <v>665</v>
      </c>
      <c r="G94" s="15">
        <v>665</v>
      </c>
      <c r="H94" s="15">
        <v>665</v>
      </c>
    </row>
    <row r="95" spans="1:8" ht="12.75">
      <c r="A95" s="16"/>
      <c r="B95" s="16" t="s">
        <v>13</v>
      </c>
      <c r="C95" s="16" t="s">
        <v>14</v>
      </c>
      <c r="D95" s="17">
        <v>99.12</v>
      </c>
      <c r="E95" s="17">
        <v>660</v>
      </c>
      <c r="F95" s="17">
        <v>665</v>
      </c>
      <c r="G95" s="17">
        <v>665</v>
      </c>
      <c r="H95" s="17">
        <v>665</v>
      </c>
    </row>
    <row r="96" spans="1:8" ht="12.75">
      <c r="A96" s="16"/>
      <c r="B96" s="18" t="s">
        <v>17</v>
      </c>
      <c r="C96" s="18" t="s">
        <v>18</v>
      </c>
      <c r="D96" s="19">
        <v>99.12</v>
      </c>
      <c r="E96" s="19">
        <v>660</v>
      </c>
      <c r="F96" s="19">
        <v>665</v>
      </c>
      <c r="G96" s="19">
        <v>665</v>
      </c>
      <c r="H96" s="19">
        <v>665</v>
      </c>
    </row>
    <row r="97" spans="1:8" ht="12.75">
      <c r="A97" s="16"/>
      <c r="B97" s="18"/>
      <c r="C97" s="18"/>
      <c r="D97" s="19"/>
      <c r="E97" s="19"/>
      <c r="F97" s="19"/>
      <c r="G97" s="19"/>
      <c r="H97" s="19"/>
    </row>
    <row r="98" spans="1:8" ht="12.75">
      <c r="A98" s="13"/>
      <c r="B98" s="127" t="s">
        <v>35</v>
      </c>
      <c r="C98" s="124"/>
      <c r="D98" s="14"/>
      <c r="E98" s="14"/>
      <c r="F98" s="14"/>
      <c r="G98" s="14"/>
      <c r="H98" s="14"/>
    </row>
    <row r="99" spans="1:8" ht="12.75">
      <c r="A99" s="31" t="s">
        <v>115</v>
      </c>
      <c r="B99" s="133" t="s">
        <v>114</v>
      </c>
      <c r="C99" s="124"/>
      <c r="D99" s="15">
        <v>0</v>
      </c>
      <c r="E99" s="15">
        <v>3223.93</v>
      </c>
      <c r="F99" s="15">
        <v>3223.93</v>
      </c>
      <c r="G99" s="15">
        <v>3223.93</v>
      </c>
      <c r="H99" s="15">
        <v>3223.93</v>
      </c>
    </row>
    <row r="100" spans="1:8" ht="12.75">
      <c r="A100" s="16"/>
      <c r="B100" s="16" t="s">
        <v>13</v>
      </c>
      <c r="C100" s="16" t="s">
        <v>14</v>
      </c>
      <c r="D100" s="17">
        <v>0</v>
      </c>
      <c r="E100" s="17">
        <v>3223.93</v>
      </c>
      <c r="F100" s="17">
        <v>3223.93</v>
      </c>
      <c r="G100" s="17">
        <v>3223.93</v>
      </c>
      <c r="H100" s="17">
        <v>3223.93</v>
      </c>
    </row>
    <row r="101" spans="1:8" ht="12.75">
      <c r="A101" s="16"/>
      <c r="B101" s="18" t="s">
        <v>17</v>
      </c>
      <c r="C101" s="18" t="s">
        <v>18</v>
      </c>
      <c r="D101" s="19">
        <v>0</v>
      </c>
      <c r="E101" s="19">
        <v>3223.93</v>
      </c>
      <c r="F101" s="19">
        <v>3223.93</v>
      </c>
      <c r="G101" s="19">
        <v>3223.93</v>
      </c>
      <c r="H101" s="19">
        <v>3223.93</v>
      </c>
    </row>
    <row r="102" spans="1:8" ht="12.75">
      <c r="A102" s="16"/>
      <c r="B102" s="18"/>
      <c r="C102" s="18"/>
      <c r="D102" s="19"/>
      <c r="E102" s="19"/>
      <c r="F102" s="19"/>
      <c r="G102" s="19"/>
      <c r="H102" s="19"/>
    </row>
    <row r="103" spans="1:8" ht="12.75">
      <c r="A103" s="13"/>
      <c r="B103" s="127" t="s">
        <v>35</v>
      </c>
      <c r="C103" s="124"/>
      <c r="D103" s="14"/>
      <c r="E103" s="14"/>
      <c r="F103" s="14"/>
      <c r="G103" s="14"/>
      <c r="H103" s="14"/>
    </row>
    <row r="104" spans="1:8" ht="12.75">
      <c r="A104" s="31" t="s">
        <v>116</v>
      </c>
      <c r="B104" s="133" t="s">
        <v>117</v>
      </c>
      <c r="C104" s="124"/>
      <c r="D104" s="15">
        <v>0</v>
      </c>
      <c r="E104" s="15">
        <v>418.61</v>
      </c>
      <c r="F104" s="15">
        <v>418.61</v>
      </c>
      <c r="G104" s="15">
        <v>418.61</v>
      </c>
      <c r="H104" s="15">
        <v>418.61</v>
      </c>
    </row>
    <row r="105" spans="1:8" ht="12.75">
      <c r="A105" s="16"/>
      <c r="B105" s="16" t="s">
        <v>13</v>
      </c>
      <c r="C105" s="32" t="s">
        <v>14</v>
      </c>
      <c r="D105" s="17">
        <v>0</v>
      </c>
      <c r="E105" s="17">
        <v>418.61</v>
      </c>
      <c r="F105" s="17">
        <v>418.61</v>
      </c>
      <c r="G105" s="17">
        <v>418.61</v>
      </c>
      <c r="H105" s="17">
        <v>418.61</v>
      </c>
    </row>
    <row r="106" spans="1:8" ht="12.75">
      <c r="A106" s="16"/>
      <c r="B106" s="18" t="s">
        <v>17</v>
      </c>
      <c r="C106" s="18" t="s">
        <v>18</v>
      </c>
      <c r="D106" s="19">
        <v>0</v>
      </c>
      <c r="E106" s="19">
        <v>418.61</v>
      </c>
      <c r="F106" s="19">
        <v>418.61</v>
      </c>
      <c r="G106" s="19">
        <v>418.61</v>
      </c>
      <c r="H106" s="19">
        <v>418.61</v>
      </c>
    </row>
    <row r="107" spans="1:8" ht="12.75">
      <c r="A107" s="16"/>
      <c r="B107" s="18"/>
      <c r="C107" s="18"/>
      <c r="D107" s="19"/>
      <c r="E107" s="19"/>
      <c r="F107" s="19"/>
      <c r="G107" s="19"/>
      <c r="H107" s="19"/>
    </row>
    <row r="108" spans="1:8" ht="12.75">
      <c r="A108" s="13"/>
      <c r="B108" s="127" t="s">
        <v>35</v>
      </c>
      <c r="C108" s="124"/>
      <c r="D108" s="14"/>
      <c r="E108" s="14"/>
      <c r="F108" s="14"/>
      <c r="G108" s="14"/>
      <c r="H108" s="14"/>
    </row>
    <row r="109" spans="1:8" ht="12.75">
      <c r="A109" s="13" t="s">
        <v>62</v>
      </c>
      <c r="B109" s="127" t="s">
        <v>63</v>
      </c>
      <c r="C109" s="124"/>
      <c r="D109" s="15">
        <v>597.25</v>
      </c>
      <c r="E109" s="15">
        <v>780</v>
      </c>
      <c r="F109" s="15">
        <v>1100</v>
      </c>
      <c r="G109" s="15">
        <v>1100</v>
      </c>
      <c r="H109" s="15">
        <v>1100</v>
      </c>
    </row>
    <row r="110" spans="1:8" ht="12.75">
      <c r="A110" s="16"/>
      <c r="B110" s="16" t="s">
        <v>13</v>
      </c>
      <c r="C110" s="16" t="s">
        <v>14</v>
      </c>
      <c r="D110" s="17">
        <v>597.25</v>
      </c>
      <c r="E110" s="17">
        <v>780</v>
      </c>
      <c r="F110" s="17">
        <v>1100</v>
      </c>
      <c r="G110" s="17">
        <v>1100</v>
      </c>
      <c r="H110" s="17">
        <v>1100</v>
      </c>
    </row>
    <row r="111" spans="1:8" ht="12.75">
      <c r="A111" s="16"/>
      <c r="B111" s="18" t="s">
        <v>17</v>
      </c>
      <c r="C111" s="18" t="s">
        <v>18</v>
      </c>
      <c r="D111" s="19">
        <v>597.25</v>
      </c>
      <c r="E111" s="19">
        <v>780</v>
      </c>
      <c r="F111" s="19">
        <v>1100</v>
      </c>
      <c r="G111" s="19">
        <v>1100</v>
      </c>
      <c r="H111" s="19">
        <v>1100</v>
      </c>
    </row>
    <row r="112" spans="1:8" ht="12.75">
      <c r="A112" s="16"/>
      <c r="B112" s="18"/>
      <c r="C112" s="18"/>
      <c r="D112" s="19"/>
      <c r="E112" s="19"/>
      <c r="F112" s="19"/>
      <c r="G112" s="19"/>
      <c r="H112" s="19"/>
    </row>
    <row r="113" spans="1:8" ht="12.75">
      <c r="A113" s="13"/>
      <c r="B113" s="127" t="s">
        <v>10</v>
      </c>
      <c r="C113" s="124"/>
      <c r="D113" s="14"/>
      <c r="E113" s="14"/>
      <c r="F113" s="14"/>
      <c r="G113" s="14"/>
      <c r="H113" s="14"/>
    </row>
    <row r="114" spans="1:8" ht="12.75">
      <c r="A114" s="13" t="s">
        <v>64</v>
      </c>
      <c r="B114" s="127" t="s">
        <v>65</v>
      </c>
      <c r="C114" s="124"/>
      <c r="D114" s="15">
        <v>1017.29</v>
      </c>
      <c r="E114" s="15">
        <v>1200</v>
      </c>
      <c r="F114" s="15">
        <v>1199.9999999999998</v>
      </c>
      <c r="G114" s="15">
        <v>1199.9999999999998</v>
      </c>
      <c r="H114" s="15">
        <v>1199.9999999999998</v>
      </c>
    </row>
    <row r="115" spans="1:8" ht="12.75">
      <c r="A115" s="16"/>
      <c r="B115" s="16" t="s">
        <v>13</v>
      </c>
      <c r="C115" s="16" t="s">
        <v>14</v>
      </c>
      <c r="D115" s="17">
        <v>1017.29</v>
      </c>
      <c r="E115" s="17">
        <v>1000</v>
      </c>
      <c r="F115" s="17">
        <v>1000</v>
      </c>
      <c r="G115" s="17">
        <v>1000</v>
      </c>
      <c r="H115" s="17">
        <v>1000</v>
      </c>
    </row>
    <row r="116" spans="1:8" ht="12.75">
      <c r="A116" s="16"/>
      <c r="B116" s="18" t="s">
        <v>17</v>
      </c>
      <c r="C116" s="18" t="s">
        <v>18</v>
      </c>
      <c r="D116" s="19">
        <v>1017.29</v>
      </c>
      <c r="E116" s="19">
        <v>1000</v>
      </c>
      <c r="F116" s="19">
        <v>1000</v>
      </c>
      <c r="G116" s="19">
        <v>1000</v>
      </c>
      <c r="H116" s="19">
        <v>1000</v>
      </c>
    </row>
    <row r="117" spans="1:8" ht="12.75">
      <c r="A117" s="16"/>
      <c r="B117" s="16" t="s">
        <v>52</v>
      </c>
      <c r="C117" s="16" t="s">
        <v>53</v>
      </c>
      <c r="D117" s="17">
        <v>0</v>
      </c>
      <c r="E117" s="17">
        <v>200</v>
      </c>
      <c r="F117" s="17">
        <v>200</v>
      </c>
      <c r="G117" s="17">
        <v>200</v>
      </c>
      <c r="H117" s="17">
        <v>200</v>
      </c>
    </row>
    <row r="118" spans="1:8" ht="22.5">
      <c r="A118" s="16"/>
      <c r="B118" s="18" t="s">
        <v>54</v>
      </c>
      <c r="C118" s="18" t="s">
        <v>55</v>
      </c>
      <c r="D118" s="19">
        <v>0</v>
      </c>
      <c r="E118" s="19">
        <f>65+135</f>
        <v>200</v>
      </c>
      <c r="F118" s="19">
        <v>200</v>
      </c>
      <c r="G118" s="19">
        <v>200</v>
      </c>
      <c r="H118" s="19">
        <v>200</v>
      </c>
    </row>
    <row r="119" spans="1:8" ht="12.75">
      <c r="A119" s="16"/>
      <c r="B119" s="18"/>
      <c r="C119" s="18"/>
      <c r="D119" s="19"/>
      <c r="E119" s="19"/>
      <c r="F119" s="19"/>
      <c r="G119" s="19"/>
      <c r="H119" s="19"/>
    </row>
    <row r="120" spans="1:8" ht="12.75">
      <c r="A120" s="13"/>
      <c r="B120" s="127" t="s">
        <v>10</v>
      </c>
      <c r="C120" s="124"/>
      <c r="D120" s="14"/>
      <c r="E120" s="14"/>
      <c r="F120" s="14"/>
      <c r="G120" s="14"/>
      <c r="H120" s="14"/>
    </row>
    <row r="121" spans="1:8" ht="12.75">
      <c r="A121" s="13" t="s">
        <v>66</v>
      </c>
      <c r="B121" s="127" t="s">
        <v>67</v>
      </c>
      <c r="C121" s="124"/>
      <c r="D121" s="15">
        <v>0</v>
      </c>
      <c r="E121" s="15">
        <v>250</v>
      </c>
      <c r="F121" s="15">
        <v>250.00066361404208</v>
      </c>
      <c r="G121" s="15">
        <v>250.00066361404208</v>
      </c>
      <c r="H121" s="15">
        <v>250.00066361404208</v>
      </c>
    </row>
    <row r="122" spans="1:8" ht="12.75">
      <c r="A122" s="16"/>
      <c r="B122" s="16" t="s">
        <v>13</v>
      </c>
      <c r="C122" s="16" t="s">
        <v>14</v>
      </c>
      <c r="D122" s="17">
        <v>0</v>
      </c>
      <c r="E122" s="17">
        <v>250</v>
      </c>
      <c r="F122" s="17">
        <v>250.00066361404208</v>
      </c>
      <c r="G122" s="17">
        <v>250.00066361404208</v>
      </c>
      <c r="H122" s="17">
        <v>250.00066361404208</v>
      </c>
    </row>
    <row r="123" spans="1:8" ht="12.75">
      <c r="A123" s="16"/>
      <c r="B123" s="18" t="s">
        <v>17</v>
      </c>
      <c r="C123" s="18" t="s">
        <v>18</v>
      </c>
      <c r="D123" s="19">
        <v>0</v>
      </c>
      <c r="E123" s="19">
        <v>250</v>
      </c>
      <c r="F123" s="19">
        <v>250.00066361404208</v>
      </c>
      <c r="G123" s="19">
        <v>250.00066361404208</v>
      </c>
      <c r="H123" s="19">
        <v>250.00066361404208</v>
      </c>
    </row>
    <row r="124" spans="1:8" ht="12.75">
      <c r="A124" s="16"/>
      <c r="B124" s="18"/>
      <c r="C124" s="18"/>
      <c r="D124" s="19"/>
      <c r="E124" s="19"/>
      <c r="F124" s="19"/>
      <c r="G124" s="19"/>
      <c r="H124" s="19"/>
    </row>
    <row r="125" spans="1:8" ht="12.75">
      <c r="A125" s="13"/>
      <c r="B125" s="127" t="s">
        <v>10</v>
      </c>
      <c r="C125" s="124"/>
      <c r="D125" s="14"/>
      <c r="E125" s="14"/>
      <c r="F125" s="14"/>
      <c r="G125" s="14"/>
      <c r="H125" s="14"/>
    </row>
    <row r="126" spans="1:8" ht="12.75">
      <c r="A126" s="13" t="s">
        <v>68</v>
      </c>
      <c r="B126" s="127" t="s">
        <v>69</v>
      </c>
      <c r="C126" s="124"/>
      <c r="D126" s="15">
        <v>929.05</v>
      </c>
      <c r="E126" s="15">
        <v>930</v>
      </c>
      <c r="F126" s="15">
        <v>1300</v>
      </c>
      <c r="G126" s="15">
        <v>1300</v>
      </c>
      <c r="H126" s="15">
        <v>1300</v>
      </c>
    </row>
    <row r="127" spans="1:8" ht="12.75">
      <c r="A127" s="16"/>
      <c r="B127" s="16" t="s">
        <v>13</v>
      </c>
      <c r="C127" s="16" t="s">
        <v>14</v>
      </c>
      <c r="D127" s="17">
        <v>929.05</v>
      </c>
      <c r="E127" s="17">
        <v>730</v>
      </c>
      <c r="F127" s="17">
        <v>1300</v>
      </c>
      <c r="G127" s="17">
        <v>1300</v>
      </c>
      <c r="H127" s="17">
        <v>1300</v>
      </c>
    </row>
    <row r="128" spans="1:8" ht="12.75">
      <c r="A128" s="16"/>
      <c r="B128" s="18" t="s">
        <v>17</v>
      </c>
      <c r="C128" s="18" t="s">
        <v>18</v>
      </c>
      <c r="D128" s="19">
        <v>929.05</v>
      </c>
      <c r="E128" s="19">
        <f>930-200</f>
        <v>730</v>
      </c>
      <c r="F128" s="19">
        <v>1300</v>
      </c>
      <c r="G128" s="19">
        <v>1300</v>
      </c>
      <c r="H128" s="19">
        <v>1300</v>
      </c>
    </row>
    <row r="129" spans="1:8" ht="12.75">
      <c r="A129" s="16"/>
      <c r="B129" s="16" t="s">
        <v>52</v>
      </c>
      <c r="C129" s="16" t="s">
        <v>53</v>
      </c>
      <c r="D129" s="17">
        <v>0</v>
      </c>
      <c r="E129" s="17">
        <v>200</v>
      </c>
      <c r="F129" s="17">
        <v>0</v>
      </c>
      <c r="G129" s="17">
        <v>0</v>
      </c>
      <c r="H129" s="17">
        <v>0</v>
      </c>
    </row>
    <row r="130" spans="1:8" ht="22.5">
      <c r="A130" s="16"/>
      <c r="B130" s="18" t="s">
        <v>54</v>
      </c>
      <c r="C130" s="18" t="s">
        <v>55</v>
      </c>
      <c r="D130" s="19">
        <v>0</v>
      </c>
      <c r="E130" s="19">
        <v>200</v>
      </c>
      <c r="F130" s="19">
        <v>0</v>
      </c>
      <c r="G130" s="19">
        <v>0</v>
      </c>
      <c r="H130" s="19">
        <v>0</v>
      </c>
    </row>
    <row r="131" spans="1:8" ht="12.75">
      <c r="A131" s="13"/>
      <c r="B131" s="127" t="s">
        <v>10</v>
      </c>
      <c r="C131" s="124"/>
      <c r="D131" s="14"/>
      <c r="E131" s="14"/>
      <c r="F131" s="14"/>
      <c r="G131" s="14"/>
      <c r="H131" s="14"/>
    </row>
    <row r="132" spans="1:8" ht="12.75">
      <c r="A132" s="13" t="s">
        <v>70</v>
      </c>
      <c r="B132" s="127" t="s">
        <v>71</v>
      </c>
      <c r="C132" s="124"/>
      <c r="D132" s="15">
        <v>2362.26</v>
      </c>
      <c r="E132" s="15">
        <v>1593</v>
      </c>
      <c r="F132" s="15">
        <v>1593.0001990842125</v>
      </c>
      <c r="G132" s="15">
        <v>1593.0001990842125</v>
      </c>
      <c r="H132" s="15">
        <v>1593.0001990842125</v>
      </c>
    </row>
    <row r="133" spans="1:8" ht="12.75">
      <c r="A133" s="16"/>
      <c r="B133" s="16" t="s">
        <v>13</v>
      </c>
      <c r="C133" s="16" t="s">
        <v>14</v>
      </c>
      <c r="D133" s="17">
        <v>2362.26</v>
      </c>
      <c r="E133" s="17">
        <v>1593</v>
      </c>
      <c r="F133" s="17">
        <v>1593.0001990842125</v>
      </c>
      <c r="G133" s="17">
        <v>1593.0001990842125</v>
      </c>
      <c r="H133" s="17">
        <v>1593.0001990842125</v>
      </c>
    </row>
    <row r="134" spans="1:8" ht="12.75">
      <c r="A134" s="16"/>
      <c r="B134" s="18" t="s">
        <v>17</v>
      </c>
      <c r="C134" s="18" t="s">
        <v>18</v>
      </c>
      <c r="D134" s="19">
        <v>2362.26</v>
      </c>
      <c r="E134" s="19">
        <v>1593</v>
      </c>
      <c r="F134" s="19">
        <v>1593.0001990842125</v>
      </c>
      <c r="G134" s="19">
        <v>1593.0001990842125</v>
      </c>
      <c r="H134" s="19">
        <v>1593.0001990842125</v>
      </c>
    </row>
    <row r="135" spans="1:8" ht="12.75">
      <c r="A135" s="16"/>
      <c r="B135" s="18"/>
      <c r="C135" s="18"/>
      <c r="D135" s="19"/>
      <c r="E135" s="19"/>
      <c r="F135" s="19"/>
      <c r="G135" s="19"/>
      <c r="H135" s="19"/>
    </row>
    <row r="136" spans="1:8" ht="12.75">
      <c r="A136" s="9" t="s">
        <v>72</v>
      </c>
      <c r="B136" s="125" t="s">
        <v>34</v>
      </c>
      <c r="C136" s="126"/>
      <c r="D136" s="10">
        <v>791.03</v>
      </c>
      <c r="E136" s="10">
        <f>2350+125+26700+472.76</f>
        <v>29647.76</v>
      </c>
      <c r="F136" s="10">
        <f>2350+125+50000+472.76+600</f>
        <v>53547.76</v>
      </c>
      <c r="G136" s="10">
        <f>2350+125+50000+472.76</f>
        <v>52947.76</v>
      </c>
      <c r="H136" s="10">
        <v>52947.76</v>
      </c>
    </row>
    <row r="137" spans="1:8" ht="12.75">
      <c r="A137" s="11"/>
      <c r="B137" s="135"/>
      <c r="C137" s="136"/>
      <c r="D137" s="12"/>
      <c r="E137" s="12"/>
      <c r="F137" s="12"/>
      <c r="G137" s="12"/>
      <c r="H137" s="12"/>
    </row>
    <row r="138" spans="1:8" ht="12.75">
      <c r="A138" s="13"/>
      <c r="B138" s="127" t="s">
        <v>73</v>
      </c>
      <c r="C138" s="124"/>
      <c r="D138" s="14"/>
      <c r="E138" s="14"/>
      <c r="F138" s="14"/>
      <c r="G138" s="14"/>
      <c r="H138" s="14"/>
    </row>
    <row r="139" spans="1:8" ht="12.75">
      <c r="A139" s="13" t="s">
        <v>74</v>
      </c>
      <c r="B139" s="127" t="s">
        <v>75</v>
      </c>
      <c r="C139" s="124"/>
      <c r="D139" s="15">
        <v>791.03</v>
      </c>
      <c r="E139" s="15">
        <v>2350</v>
      </c>
      <c r="F139" s="15">
        <v>2350</v>
      </c>
      <c r="G139" s="15">
        <v>2350</v>
      </c>
      <c r="H139" s="15">
        <v>2350</v>
      </c>
    </row>
    <row r="140" spans="1:8" ht="12.75">
      <c r="A140" s="16"/>
      <c r="B140" s="16" t="s">
        <v>13</v>
      </c>
      <c r="C140" s="16" t="s">
        <v>14</v>
      </c>
      <c r="D140" s="17">
        <v>791.03</v>
      </c>
      <c r="E140" s="17">
        <f>1872.2+344.8</f>
        <v>2217</v>
      </c>
      <c r="F140" s="17">
        <v>2350</v>
      </c>
      <c r="G140" s="17">
        <v>2350</v>
      </c>
      <c r="H140" s="17">
        <v>2350</v>
      </c>
    </row>
    <row r="141" spans="1:8" ht="12.75">
      <c r="A141" s="16"/>
      <c r="B141" s="18" t="s">
        <v>15</v>
      </c>
      <c r="C141" s="18" t="s">
        <v>16</v>
      </c>
      <c r="D141" s="19">
        <f>791.03-191.12</f>
        <v>599.91</v>
      </c>
      <c r="E141" s="19">
        <v>2217</v>
      </c>
      <c r="F141" s="19">
        <v>2100</v>
      </c>
      <c r="G141" s="19">
        <v>2100</v>
      </c>
      <c r="H141" s="19">
        <v>2100</v>
      </c>
    </row>
    <row r="142" spans="1:8" ht="12.75">
      <c r="A142" s="16"/>
      <c r="B142" s="18" t="s">
        <v>17</v>
      </c>
      <c r="C142" s="18" t="s">
        <v>18</v>
      </c>
      <c r="D142" s="19">
        <v>191.12</v>
      </c>
      <c r="E142" s="19">
        <f>2350-2217</f>
        <v>133</v>
      </c>
      <c r="F142" s="19">
        <v>250</v>
      </c>
      <c r="G142" s="19">
        <v>250</v>
      </c>
      <c r="H142" s="19">
        <v>250</v>
      </c>
    </row>
    <row r="143" spans="1:8" ht="12.75">
      <c r="A143" s="16"/>
      <c r="B143" s="18"/>
      <c r="C143" s="18"/>
      <c r="D143" s="19"/>
      <c r="E143" s="19"/>
      <c r="F143" s="19"/>
      <c r="G143" s="19"/>
      <c r="H143" s="19"/>
    </row>
    <row r="144" spans="1:8" ht="12.75">
      <c r="A144" s="13"/>
      <c r="B144" s="127" t="s">
        <v>73</v>
      </c>
      <c r="C144" s="124"/>
      <c r="D144" s="14"/>
      <c r="E144" s="14"/>
      <c r="F144" s="14"/>
      <c r="G144" s="14"/>
      <c r="H144" s="14"/>
    </row>
    <row r="145" spans="1:8" ht="12.75">
      <c r="A145" s="13" t="s">
        <v>76</v>
      </c>
      <c r="B145" s="127" t="s">
        <v>77</v>
      </c>
      <c r="C145" s="124"/>
      <c r="D145" s="15">
        <v>0</v>
      </c>
      <c r="E145" s="15">
        <v>125</v>
      </c>
      <c r="F145" s="15">
        <v>124.99966819297894</v>
      </c>
      <c r="G145" s="15">
        <v>124.99966819297894</v>
      </c>
      <c r="H145" s="15">
        <v>124.99966819297894</v>
      </c>
    </row>
    <row r="146" spans="1:8" ht="12.75">
      <c r="A146" s="16"/>
      <c r="B146" s="16" t="s">
        <v>13</v>
      </c>
      <c r="C146" s="16" t="s">
        <v>14</v>
      </c>
      <c r="D146" s="17">
        <v>0</v>
      </c>
      <c r="E146" s="17">
        <v>125</v>
      </c>
      <c r="F146" s="17">
        <v>124.99966819297894</v>
      </c>
      <c r="G146" s="17">
        <v>124.99966819297894</v>
      </c>
      <c r="H146" s="17">
        <v>124.99966819297894</v>
      </c>
    </row>
    <row r="147" spans="1:8" ht="12.75">
      <c r="A147" s="16"/>
      <c r="B147" s="18" t="s">
        <v>17</v>
      </c>
      <c r="C147" s="18" t="s">
        <v>18</v>
      </c>
      <c r="D147" s="19">
        <v>0</v>
      </c>
      <c r="E147" s="19">
        <v>125</v>
      </c>
      <c r="F147" s="19">
        <v>124.99966819297894</v>
      </c>
      <c r="G147" s="19">
        <v>124.99966819297894</v>
      </c>
      <c r="H147" s="19">
        <v>124.99966819297894</v>
      </c>
    </row>
    <row r="148" spans="1:8" ht="12.75">
      <c r="A148" s="16"/>
      <c r="B148" s="18"/>
      <c r="C148" s="18"/>
      <c r="D148" s="19"/>
      <c r="E148" s="19"/>
      <c r="F148" s="19"/>
      <c r="G148" s="19"/>
      <c r="H148" s="19"/>
    </row>
    <row r="149" spans="1:8" ht="12.75">
      <c r="A149" s="13"/>
      <c r="B149" s="127" t="s">
        <v>73</v>
      </c>
      <c r="C149" s="124"/>
      <c r="D149" s="14"/>
      <c r="E149" s="14"/>
      <c r="F149" s="14"/>
      <c r="G149" s="14"/>
      <c r="H149" s="14"/>
    </row>
    <row r="150" spans="1:8" ht="12.75">
      <c r="A150" s="31" t="s">
        <v>118</v>
      </c>
      <c r="B150" s="133" t="s">
        <v>119</v>
      </c>
      <c r="C150" s="124"/>
      <c r="D150" s="15">
        <v>0</v>
      </c>
      <c r="E150" s="15">
        <v>26700</v>
      </c>
      <c r="F150" s="15">
        <v>50000</v>
      </c>
      <c r="G150" s="15">
        <v>50000</v>
      </c>
      <c r="H150" s="15">
        <v>50000</v>
      </c>
    </row>
    <row r="151" spans="1:8" ht="12.75">
      <c r="A151" s="16"/>
      <c r="B151" s="16" t="s">
        <v>13</v>
      </c>
      <c r="C151" s="16" t="s">
        <v>14</v>
      </c>
      <c r="D151" s="17">
        <v>0</v>
      </c>
      <c r="E151" s="17">
        <v>26700</v>
      </c>
      <c r="F151" s="17">
        <v>50000</v>
      </c>
      <c r="G151" s="17">
        <v>50000</v>
      </c>
      <c r="H151" s="17">
        <v>50000</v>
      </c>
    </row>
    <row r="152" spans="1:8" ht="12.75">
      <c r="A152" s="16"/>
      <c r="B152" s="18" t="s">
        <v>17</v>
      </c>
      <c r="C152" s="18" t="s">
        <v>18</v>
      </c>
      <c r="D152" s="19">
        <v>0</v>
      </c>
      <c r="E152" s="19">
        <v>26700</v>
      </c>
      <c r="F152" s="19">
        <v>50000</v>
      </c>
      <c r="G152" s="19">
        <v>50000</v>
      </c>
      <c r="H152" s="19">
        <v>50000</v>
      </c>
    </row>
    <row r="153" spans="1:8" ht="12.75">
      <c r="A153" s="16"/>
      <c r="B153" s="18"/>
      <c r="C153" s="18"/>
      <c r="D153" s="19"/>
      <c r="E153" s="19"/>
      <c r="F153" s="19"/>
      <c r="G153" s="19"/>
      <c r="H153" s="19"/>
    </row>
    <row r="154" spans="1:8" ht="12.75">
      <c r="A154" s="16"/>
      <c r="B154" s="18"/>
      <c r="C154" s="18"/>
      <c r="D154" s="19"/>
      <c r="E154" s="19"/>
      <c r="F154" s="19"/>
      <c r="G154" s="19"/>
      <c r="H154" s="19"/>
    </row>
    <row r="155" spans="1:8" ht="12.75">
      <c r="A155" s="13"/>
      <c r="B155" s="127" t="s">
        <v>73</v>
      </c>
      <c r="C155" s="124"/>
      <c r="D155" s="14"/>
      <c r="E155" s="14"/>
      <c r="F155" s="14"/>
      <c r="G155" s="14"/>
      <c r="H155" s="14"/>
    </row>
    <row r="156" spans="1:8" ht="12.75">
      <c r="A156" s="31" t="s">
        <v>122</v>
      </c>
      <c r="B156" s="133" t="s">
        <v>123</v>
      </c>
      <c r="C156" s="124"/>
      <c r="D156" s="15">
        <v>0</v>
      </c>
      <c r="E156" s="15">
        <v>472.76</v>
      </c>
      <c r="F156" s="15">
        <v>472.76</v>
      </c>
      <c r="G156" s="15">
        <v>472.76</v>
      </c>
      <c r="H156" s="15">
        <v>472.76</v>
      </c>
    </row>
    <row r="157" spans="1:8" ht="12.75">
      <c r="A157" s="16"/>
      <c r="B157" s="16" t="s">
        <v>13</v>
      </c>
      <c r="C157" s="16" t="s">
        <v>14</v>
      </c>
      <c r="D157" s="17">
        <v>0</v>
      </c>
      <c r="E157" s="17">
        <v>472.76</v>
      </c>
      <c r="F157" s="17">
        <v>472.76</v>
      </c>
      <c r="G157" s="17">
        <v>472.76</v>
      </c>
      <c r="H157" s="17">
        <v>472.76</v>
      </c>
    </row>
    <row r="158" spans="1:8" ht="12.75">
      <c r="A158" s="16"/>
      <c r="B158" s="18" t="s">
        <v>17</v>
      </c>
      <c r="C158" s="18" t="s">
        <v>18</v>
      </c>
      <c r="D158" s="19">
        <v>0</v>
      </c>
      <c r="E158" s="19">
        <v>472.76</v>
      </c>
      <c r="F158" s="19">
        <v>472.76</v>
      </c>
      <c r="G158" s="19">
        <v>472.76</v>
      </c>
      <c r="H158" s="19">
        <v>472.76</v>
      </c>
    </row>
    <row r="159" spans="1:8" ht="12.75">
      <c r="A159" s="16"/>
      <c r="B159" s="18"/>
      <c r="C159" s="18"/>
      <c r="D159" s="19"/>
      <c r="E159" s="19"/>
      <c r="F159" s="19"/>
      <c r="G159" s="19"/>
      <c r="H159" s="19"/>
    </row>
    <row r="160" spans="1:8" ht="12.75">
      <c r="A160" s="13"/>
      <c r="B160" s="127" t="s">
        <v>73</v>
      </c>
      <c r="C160" s="124"/>
      <c r="D160" s="14"/>
      <c r="E160" s="14"/>
      <c r="F160" s="14"/>
      <c r="G160" s="14"/>
      <c r="H160" s="14"/>
    </row>
    <row r="161" spans="1:8" ht="12.75">
      <c r="A161" s="31" t="s">
        <v>120</v>
      </c>
      <c r="B161" s="133" t="s">
        <v>121</v>
      </c>
      <c r="C161" s="124"/>
      <c r="D161" s="15">
        <v>0</v>
      </c>
      <c r="E161" s="15">
        <v>0</v>
      </c>
      <c r="F161" s="15">
        <v>600</v>
      </c>
      <c r="G161" s="15">
        <v>0</v>
      </c>
      <c r="H161" s="15">
        <v>0</v>
      </c>
    </row>
    <row r="162" spans="1:8" ht="12.75">
      <c r="A162" s="16"/>
      <c r="B162" s="16" t="s">
        <v>13</v>
      </c>
      <c r="C162" s="16" t="s">
        <v>14</v>
      </c>
      <c r="D162" s="17">
        <v>0</v>
      </c>
      <c r="E162" s="17">
        <v>0</v>
      </c>
      <c r="F162" s="17">
        <v>600</v>
      </c>
      <c r="G162" s="17">
        <v>0</v>
      </c>
      <c r="H162" s="17">
        <v>0</v>
      </c>
    </row>
    <row r="163" spans="1:8" ht="12.75">
      <c r="A163" s="16"/>
      <c r="B163" s="18" t="s">
        <v>17</v>
      </c>
      <c r="C163" s="18" t="s">
        <v>18</v>
      </c>
      <c r="D163" s="19">
        <v>0</v>
      </c>
      <c r="E163" s="19">
        <v>0</v>
      </c>
      <c r="F163" s="19">
        <v>600</v>
      </c>
      <c r="G163" s="19">
        <v>0</v>
      </c>
      <c r="H163" s="19">
        <v>0</v>
      </c>
    </row>
    <row r="164" spans="1:8" ht="12.75">
      <c r="A164" s="16"/>
      <c r="B164" s="18"/>
      <c r="C164" s="18"/>
      <c r="D164" s="19"/>
      <c r="E164" s="19"/>
      <c r="F164" s="19"/>
      <c r="G164" s="19"/>
      <c r="H164" s="19"/>
    </row>
    <row r="165" spans="1:8" ht="12.75">
      <c r="A165" s="16"/>
      <c r="B165" s="18"/>
      <c r="C165" s="18"/>
      <c r="D165" s="19"/>
      <c r="E165" s="19"/>
      <c r="F165" s="19"/>
      <c r="G165" s="19"/>
      <c r="H165" s="19"/>
    </row>
    <row r="166" spans="1:8" ht="12.75">
      <c r="A166" s="16"/>
      <c r="B166" s="18"/>
      <c r="C166" s="18"/>
      <c r="D166" s="19"/>
      <c r="E166" s="19"/>
      <c r="F166" s="19"/>
      <c r="G166" s="19"/>
      <c r="H166" s="19"/>
    </row>
    <row r="167" spans="1:8" ht="12.75">
      <c r="A167" s="16"/>
      <c r="B167" s="18"/>
      <c r="C167" s="18"/>
      <c r="D167" s="19"/>
      <c r="E167" s="19"/>
      <c r="F167" s="19"/>
      <c r="G167" s="19"/>
      <c r="H167" s="19"/>
    </row>
    <row r="168" spans="1:8" ht="12.75">
      <c r="A168" s="16"/>
      <c r="B168" s="18"/>
      <c r="C168" s="18"/>
      <c r="D168" s="19"/>
      <c r="E168" s="19"/>
      <c r="F168" s="19"/>
      <c r="G168" s="19"/>
      <c r="H168" s="19"/>
    </row>
    <row r="169" spans="1:8" ht="12.75">
      <c r="A169" s="16"/>
      <c r="B169" s="18"/>
      <c r="C169" s="18"/>
      <c r="D169" s="19"/>
      <c r="E169" s="19"/>
      <c r="F169" s="19"/>
      <c r="G169" s="19"/>
      <c r="H169" s="19"/>
    </row>
    <row r="170" spans="1:8" ht="12.75">
      <c r="A170" s="9" t="s">
        <v>78</v>
      </c>
      <c r="B170" s="125" t="s">
        <v>79</v>
      </c>
      <c r="C170" s="126"/>
      <c r="D170" s="10">
        <f>D173+D177+D181</f>
        <v>10886.48</v>
      </c>
      <c r="E170" s="10">
        <f>31809.7+3090+29482</f>
        <v>64381.7</v>
      </c>
      <c r="F170" s="10">
        <f>3090+20030</f>
        <v>23120</v>
      </c>
      <c r="G170" s="10">
        <f>3090+20030</f>
        <v>23120</v>
      </c>
      <c r="H170" s="10">
        <v>23120</v>
      </c>
    </row>
    <row r="171" spans="1:8" ht="12.75">
      <c r="A171" s="11"/>
      <c r="B171" s="135"/>
      <c r="C171" s="135"/>
      <c r="D171" s="12"/>
      <c r="E171" s="12"/>
      <c r="F171" s="12"/>
      <c r="G171" s="12"/>
      <c r="H171" s="12"/>
    </row>
    <row r="172" spans="1:8" ht="12.75">
      <c r="A172" s="13"/>
      <c r="B172" s="127" t="s">
        <v>10</v>
      </c>
      <c r="C172" s="124"/>
      <c r="D172" s="14"/>
      <c r="E172" s="14"/>
      <c r="F172" s="14"/>
      <c r="G172" s="14"/>
      <c r="H172" s="14"/>
    </row>
    <row r="173" spans="1:8" ht="12.75">
      <c r="A173" s="13" t="s">
        <v>80</v>
      </c>
      <c r="B173" s="127" t="s">
        <v>81</v>
      </c>
      <c r="C173" s="124"/>
      <c r="D173" s="15">
        <v>0</v>
      </c>
      <c r="E173" s="15">
        <v>31809.7</v>
      </c>
      <c r="F173" s="15">
        <v>0</v>
      </c>
      <c r="G173" s="15">
        <v>0</v>
      </c>
      <c r="H173" s="15">
        <v>0</v>
      </c>
    </row>
    <row r="174" spans="1:8" ht="12.75">
      <c r="A174" s="16"/>
      <c r="B174" s="16" t="s">
        <v>52</v>
      </c>
      <c r="C174" s="16" t="s">
        <v>53</v>
      </c>
      <c r="D174" s="17">
        <v>0</v>
      </c>
      <c r="E174" s="17">
        <v>31809.7</v>
      </c>
      <c r="F174" s="17">
        <v>0</v>
      </c>
      <c r="G174" s="17">
        <v>0</v>
      </c>
      <c r="H174" s="17">
        <v>0</v>
      </c>
    </row>
    <row r="175" spans="1:8" ht="22.5">
      <c r="A175" s="16"/>
      <c r="B175" s="18" t="s">
        <v>54</v>
      </c>
      <c r="C175" s="18" t="s">
        <v>55</v>
      </c>
      <c r="D175" s="19">
        <v>0</v>
      </c>
      <c r="E175" s="19">
        <v>31809.7</v>
      </c>
      <c r="F175" s="19">
        <v>0</v>
      </c>
      <c r="G175" s="19">
        <v>0</v>
      </c>
      <c r="H175" s="19">
        <v>0</v>
      </c>
    </row>
    <row r="176" spans="1:8" ht="12.75">
      <c r="A176" s="13"/>
      <c r="B176" s="127" t="s">
        <v>10</v>
      </c>
      <c r="C176" s="124"/>
      <c r="D176" s="14"/>
      <c r="E176" s="14"/>
      <c r="F176" s="14"/>
      <c r="G176" s="14"/>
      <c r="H176" s="14"/>
    </row>
    <row r="177" spans="1:8" ht="12.75">
      <c r="A177" s="13" t="s">
        <v>82</v>
      </c>
      <c r="B177" s="127" t="s">
        <v>83</v>
      </c>
      <c r="C177" s="124"/>
      <c r="D177" s="15">
        <v>3284.78</v>
      </c>
      <c r="E177" s="15">
        <v>3090</v>
      </c>
      <c r="F177" s="15">
        <v>3090.001990842126</v>
      </c>
      <c r="G177" s="15">
        <v>3090</v>
      </c>
      <c r="H177" s="15">
        <v>3090</v>
      </c>
    </row>
    <row r="178" spans="1:8" ht="12.75">
      <c r="A178" s="16"/>
      <c r="B178" s="16" t="s">
        <v>52</v>
      </c>
      <c r="C178" s="16" t="s">
        <v>53</v>
      </c>
      <c r="D178" s="17">
        <v>3284.78</v>
      </c>
      <c r="E178" s="17">
        <v>3090</v>
      </c>
      <c r="F178" s="17">
        <v>3090.001990842126</v>
      </c>
      <c r="G178" s="17">
        <v>3090</v>
      </c>
      <c r="H178" s="17">
        <v>3090</v>
      </c>
    </row>
    <row r="179" spans="1:8" ht="22.5">
      <c r="A179" s="16"/>
      <c r="B179" s="18" t="s">
        <v>54</v>
      </c>
      <c r="C179" s="18" t="s">
        <v>55</v>
      </c>
      <c r="D179" s="19">
        <v>3284.78</v>
      </c>
      <c r="E179" s="19">
        <v>3090</v>
      </c>
      <c r="F179" s="19">
        <v>3090.001990842126</v>
      </c>
      <c r="G179" s="19">
        <v>3090</v>
      </c>
      <c r="H179" s="19">
        <v>3090</v>
      </c>
    </row>
    <row r="180" spans="1:8" ht="12.75">
      <c r="A180" s="13"/>
      <c r="B180" s="127" t="s">
        <v>10</v>
      </c>
      <c r="C180" s="124"/>
      <c r="D180" s="14"/>
      <c r="E180" s="14"/>
      <c r="F180" s="14"/>
      <c r="G180" s="14"/>
      <c r="H180" s="14"/>
    </row>
    <row r="181" spans="1:8" ht="12.75">
      <c r="A181" s="13" t="s">
        <v>84</v>
      </c>
      <c r="B181" s="127" t="s">
        <v>85</v>
      </c>
      <c r="C181" s="124"/>
      <c r="D181" s="15">
        <v>7601.7</v>
      </c>
      <c r="E181" s="15">
        <v>29482</v>
      </c>
      <c r="F181" s="15">
        <v>20030</v>
      </c>
      <c r="G181" s="15">
        <v>20030</v>
      </c>
      <c r="H181" s="15">
        <v>20030</v>
      </c>
    </row>
    <row r="182" spans="1:8" ht="12.75">
      <c r="A182" s="16"/>
      <c r="B182" s="16" t="s">
        <v>52</v>
      </c>
      <c r="C182" s="16" t="s">
        <v>53</v>
      </c>
      <c r="D182" s="17">
        <v>7601.7</v>
      </c>
      <c r="E182" s="17">
        <v>29482</v>
      </c>
      <c r="F182" s="17">
        <v>20030</v>
      </c>
      <c r="G182" s="17">
        <v>20030</v>
      </c>
      <c r="H182" s="17">
        <v>20030</v>
      </c>
    </row>
    <row r="183" spans="1:8" ht="22.5">
      <c r="A183" s="16"/>
      <c r="B183" s="18" t="s">
        <v>86</v>
      </c>
      <c r="C183" s="18" t="s">
        <v>87</v>
      </c>
      <c r="D183" s="19">
        <v>7601.7</v>
      </c>
      <c r="E183" s="19">
        <v>29482</v>
      </c>
      <c r="F183" s="19">
        <v>20030</v>
      </c>
      <c r="G183" s="19">
        <v>20030</v>
      </c>
      <c r="H183" s="19">
        <v>20030</v>
      </c>
    </row>
    <row r="184" spans="1:8" ht="12.75">
      <c r="A184" s="16"/>
      <c r="B184" s="18"/>
      <c r="C184" s="18"/>
      <c r="D184" s="19"/>
      <c r="E184" s="19"/>
      <c r="F184" s="19"/>
      <c r="G184" s="19"/>
      <c r="H184" s="19"/>
    </row>
    <row r="185" spans="1:8" ht="12.75">
      <c r="A185" s="9">
        <v>9211</v>
      </c>
      <c r="B185" s="132" t="s">
        <v>88</v>
      </c>
      <c r="C185" s="126"/>
      <c r="D185" s="10">
        <v>0</v>
      </c>
      <c r="E185" s="10">
        <v>9225</v>
      </c>
      <c r="F185" s="10">
        <v>0</v>
      </c>
      <c r="G185" s="10">
        <v>0</v>
      </c>
      <c r="H185" s="10">
        <v>0</v>
      </c>
    </row>
    <row r="186" spans="1:8" ht="12.75">
      <c r="A186" s="13"/>
      <c r="B186" s="127" t="s">
        <v>35</v>
      </c>
      <c r="C186" s="124"/>
      <c r="D186" s="14"/>
      <c r="E186" s="14"/>
      <c r="F186" s="14"/>
      <c r="G186" s="14"/>
      <c r="H186" s="14"/>
    </row>
    <row r="187" spans="1:8" ht="12.75">
      <c r="A187" s="13" t="s">
        <v>89</v>
      </c>
      <c r="B187" s="127" t="s">
        <v>90</v>
      </c>
      <c r="C187" s="124"/>
      <c r="D187" s="15">
        <v>0</v>
      </c>
      <c r="E187" s="15">
        <v>9225</v>
      </c>
      <c r="F187" s="15">
        <v>0</v>
      </c>
      <c r="G187" s="15">
        <v>0</v>
      </c>
      <c r="H187" s="15">
        <v>0</v>
      </c>
    </row>
    <row r="188" spans="1:8" ht="12.75">
      <c r="A188" s="16"/>
      <c r="B188" s="16" t="s">
        <v>13</v>
      </c>
      <c r="C188" s="16" t="s">
        <v>14</v>
      </c>
      <c r="D188" s="17">
        <v>0</v>
      </c>
      <c r="E188" s="17">
        <v>9225</v>
      </c>
      <c r="F188" s="17">
        <v>0</v>
      </c>
      <c r="G188" s="17">
        <v>0</v>
      </c>
      <c r="H188" s="17">
        <v>0</v>
      </c>
    </row>
    <row r="189" spans="1:8" ht="12.75">
      <c r="A189" s="16"/>
      <c r="B189" s="18" t="s">
        <v>15</v>
      </c>
      <c r="C189" s="18" t="s">
        <v>16</v>
      </c>
      <c r="D189" s="19">
        <v>0</v>
      </c>
      <c r="E189" s="19">
        <f>9225-66.36</f>
        <v>9158.64</v>
      </c>
      <c r="F189" s="19">
        <v>0</v>
      </c>
      <c r="G189" s="19">
        <v>0</v>
      </c>
      <c r="H189" s="19">
        <v>0</v>
      </c>
    </row>
    <row r="190" spans="1:8" ht="12.75">
      <c r="A190" s="16"/>
      <c r="B190" s="18" t="s">
        <v>17</v>
      </c>
      <c r="C190" s="18" t="s">
        <v>18</v>
      </c>
      <c r="D190" s="19">
        <v>0</v>
      </c>
      <c r="E190" s="19">
        <v>66.36</v>
      </c>
      <c r="F190" s="19">
        <v>0</v>
      </c>
      <c r="G190" s="19">
        <v>0</v>
      </c>
      <c r="H190" s="19">
        <v>0</v>
      </c>
    </row>
    <row r="191" spans="1:8" ht="12.75">
      <c r="A191" s="16"/>
      <c r="B191" s="18"/>
      <c r="C191" s="18"/>
      <c r="D191" s="19"/>
      <c r="E191" s="19"/>
      <c r="F191" s="19"/>
      <c r="G191" s="19"/>
      <c r="H191" s="19"/>
    </row>
    <row r="192" spans="1:8" ht="12.75">
      <c r="A192" s="9">
        <v>9212</v>
      </c>
      <c r="B192" s="132" t="s">
        <v>137</v>
      </c>
      <c r="C192" s="126"/>
      <c r="D192" s="10">
        <v>0</v>
      </c>
      <c r="E192" s="10">
        <v>0</v>
      </c>
      <c r="F192" s="10">
        <v>9600</v>
      </c>
      <c r="G192" s="10">
        <v>0</v>
      </c>
      <c r="H192" s="10">
        <v>0</v>
      </c>
    </row>
    <row r="193" spans="1:8" ht="12.75">
      <c r="A193" s="13"/>
      <c r="B193" s="127" t="s">
        <v>35</v>
      </c>
      <c r="C193" s="124"/>
      <c r="D193" s="14"/>
      <c r="E193" s="14"/>
      <c r="F193" s="14"/>
      <c r="G193" s="14"/>
      <c r="H193" s="14"/>
    </row>
    <row r="194" spans="1:8" ht="12.75">
      <c r="A194" s="13" t="s">
        <v>140</v>
      </c>
      <c r="B194" s="133" t="s">
        <v>136</v>
      </c>
      <c r="C194" s="124"/>
      <c r="D194" s="15">
        <v>0</v>
      </c>
      <c r="E194" s="15">
        <v>0</v>
      </c>
      <c r="F194" s="15">
        <v>9600</v>
      </c>
      <c r="G194" s="15">
        <v>0</v>
      </c>
      <c r="H194" s="15">
        <v>0</v>
      </c>
    </row>
    <row r="195" spans="1:8" ht="12.75">
      <c r="A195" s="16"/>
      <c r="B195" s="16" t="s">
        <v>13</v>
      </c>
      <c r="C195" s="16" t="s">
        <v>14</v>
      </c>
      <c r="D195" s="17">
        <v>0</v>
      </c>
      <c r="E195" s="17">
        <v>0</v>
      </c>
      <c r="F195" s="17">
        <v>9600</v>
      </c>
      <c r="G195" s="17">
        <v>0</v>
      </c>
      <c r="H195" s="17">
        <v>0</v>
      </c>
    </row>
    <row r="196" spans="1:8" ht="12.75">
      <c r="A196" s="16"/>
      <c r="B196" s="18" t="s">
        <v>15</v>
      </c>
      <c r="C196" s="18" t="s">
        <v>16</v>
      </c>
      <c r="D196" s="19">
        <v>0</v>
      </c>
      <c r="E196" s="19">
        <v>0</v>
      </c>
      <c r="F196" s="19">
        <f>9600-500</f>
        <v>9100</v>
      </c>
      <c r="G196" s="19">
        <v>0</v>
      </c>
      <c r="H196" s="19">
        <v>0</v>
      </c>
    </row>
    <row r="197" spans="1:8" ht="12.75">
      <c r="A197" s="16"/>
      <c r="B197" s="18" t="s">
        <v>17</v>
      </c>
      <c r="C197" s="18" t="s">
        <v>18</v>
      </c>
      <c r="D197" s="19">
        <v>0</v>
      </c>
      <c r="E197" s="19">
        <v>0</v>
      </c>
      <c r="F197" s="19">
        <f>400+100</f>
        <v>500</v>
      </c>
      <c r="G197" s="19">
        <v>0</v>
      </c>
      <c r="H197" s="19">
        <v>0</v>
      </c>
    </row>
    <row r="198" spans="1:8" ht="12.75">
      <c r="A198" s="16"/>
      <c r="B198" s="18"/>
      <c r="C198" s="18"/>
      <c r="D198" s="19"/>
      <c r="E198" s="19"/>
      <c r="F198" s="19"/>
      <c r="G198" s="19"/>
      <c r="H198" s="19"/>
    </row>
    <row r="199" spans="1:8" ht="12.75">
      <c r="A199" s="20" t="s">
        <v>91</v>
      </c>
      <c r="B199" s="130" t="s">
        <v>92</v>
      </c>
      <c r="C199" s="131"/>
      <c r="D199" s="21">
        <f>D192+D185+D170+D136+D43+D37+D10</f>
        <v>992404.79</v>
      </c>
      <c r="E199" s="21">
        <f>E192+E185+E170+E136+E43+E37+E10</f>
        <v>1187158.5</v>
      </c>
      <c r="F199" s="21">
        <f>9600+23120+53547.76+174854.54+89850+935882.56</f>
        <v>1286854.86</v>
      </c>
      <c r="G199" s="21">
        <f>G192+G185+G170+G136+G43+G37+G10</f>
        <v>1218004.86</v>
      </c>
      <c r="H199" s="21">
        <v>1218004.86</v>
      </c>
    </row>
    <row r="200" ht="18" customHeight="1"/>
    <row r="201" ht="18" customHeight="1"/>
    <row r="202" spans="1:8" ht="16.5" customHeight="1">
      <c r="A202" s="128" t="s">
        <v>129</v>
      </c>
      <c r="B202" s="129"/>
      <c r="C202" s="129"/>
      <c r="D202" s="39" t="s">
        <v>108</v>
      </c>
      <c r="E202" s="38" t="s">
        <v>139</v>
      </c>
      <c r="F202" s="39" t="s">
        <v>138</v>
      </c>
      <c r="G202" s="39" t="s">
        <v>3</v>
      </c>
      <c r="H202" s="39" t="s">
        <v>110</v>
      </c>
    </row>
    <row r="203" spans="1:8" ht="16.5" customHeight="1">
      <c r="A203" s="35" t="s">
        <v>130</v>
      </c>
      <c r="B203" s="134" t="s">
        <v>132</v>
      </c>
      <c r="C203" s="124"/>
      <c r="D203" s="40">
        <v>992404.55</v>
      </c>
      <c r="E203" s="40">
        <v>1187158.5</v>
      </c>
      <c r="F203" s="40">
        <f>F204+F205+F206</f>
        <v>1286854.8628535403</v>
      </c>
      <c r="G203" s="40">
        <v>1218004.86</v>
      </c>
      <c r="H203" s="40">
        <v>1218004.86</v>
      </c>
    </row>
    <row r="204" spans="1:8" ht="18" customHeight="1">
      <c r="A204" s="34" t="s">
        <v>10</v>
      </c>
      <c r="C204" s="35" t="s">
        <v>133</v>
      </c>
      <c r="D204" s="40">
        <f>992404.55-1631.14-791.03</f>
        <v>989982.38</v>
      </c>
      <c r="E204" s="40">
        <f>1187158.5-102473.42-51164.64</f>
        <v>1033520.4400000001</v>
      </c>
      <c r="F204" s="40">
        <f>F10+F37+F52+F57+F62+F66+F75+F79+F87+F114+F121+F126+F132+F170</f>
        <v>1216704.5621899264</v>
      </c>
      <c r="G204" s="40">
        <f>1218004.86-7002.54-52947.76</f>
        <v>1158054.56</v>
      </c>
      <c r="H204" s="40">
        <v>1158054.56</v>
      </c>
    </row>
    <row r="205" spans="1:8" ht="14.25" customHeight="1">
      <c r="A205" s="35" t="s">
        <v>35</v>
      </c>
      <c r="B205" s="134" t="s">
        <v>134</v>
      </c>
      <c r="C205" s="124"/>
      <c r="D205" s="40">
        <f>D109+D94+D83+D71+D46</f>
        <v>1631.1399999999999</v>
      </c>
      <c r="E205" s="40">
        <v>51164.64264383834</v>
      </c>
      <c r="F205" s="40">
        <f>F192+F185+F109+F104+F99+F94+F83+F71+F46</f>
        <v>16602.540663614043</v>
      </c>
      <c r="G205" s="40">
        <f>G109+G104+G99+G94+G83+G71+G46</f>
        <v>7002.540663614042</v>
      </c>
      <c r="H205" s="40">
        <f>H109+H104+H99+H94+H83+H71+H46</f>
        <v>7002.540663614042</v>
      </c>
    </row>
    <row r="206" spans="1:8" ht="17.25" customHeight="1">
      <c r="A206" s="35" t="s">
        <v>73</v>
      </c>
      <c r="B206" s="134" t="s">
        <v>135</v>
      </c>
      <c r="C206" s="124"/>
      <c r="D206" s="40">
        <f>D139</f>
        <v>791.03</v>
      </c>
      <c r="E206" s="40">
        <v>102473.42225761496</v>
      </c>
      <c r="F206" s="40">
        <f>1286854.86-1216704.56-16602.54</f>
        <v>53547.760000000046</v>
      </c>
      <c r="G206" s="40">
        <f>G161+G156+G150+G145+G139</f>
        <v>52947.75966819298</v>
      </c>
      <c r="H206" s="40">
        <f>H161+H156+H150+H145+H139</f>
        <v>52947.75966819298</v>
      </c>
    </row>
    <row r="207" spans="1:8" ht="15.75" customHeight="1">
      <c r="A207" s="24" t="s">
        <v>107</v>
      </c>
      <c r="B207" s="120" t="s">
        <v>131</v>
      </c>
      <c r="C207" s="121"/>
      <c r="D207" s="41">
        <f>D204+D205+D206</f>
        <v>992404.55</v>
      </c>
      <c r="E207" s="41">
        <f>E204+E205+E206</f>
        <v>1187158.5049014534</v>
      </c>
      <c r="F207" s="41">
        <f>SUM(F204:F206)</f>
        <v>1286854.8628535403</v>
      </c>
      <c r="G207" s="41">
        <f>SUM(G204:G206)</f>
        <v>1218004.860331807</v>
      </c>
      <c r="H207" s="41">
        <f>H204+H205+H206</f>
        <v>1218004.860331807</v>
      </c>
    </row>
    <row r="208" ht="15.75" customHeight="1"/>
    <row r="209" spans="1:8" ht="18" customHeight="1">
      <c r="A209" s="35"/>
      <c r="B209" s="35"/>
      <c r="D209" s="33"/>
      <c r="E209" s="33"/>
      <c r="F209" s="33"/>
      <c r="G209" s="33"/>
      <c r="H209" s="33"/>
    </row>
    <row r="210" spans="1:8" ht="18" customHeight="1">
      <c r="A210" s="35"/>
      <c r="B210" s="35"/>
      <c r="D210" s="33"/>
      <c r="E210" s="33"/>
      <c r="F210" s="33"/>
      <c r="G210" s="33"/>
      <c r="H210" s="33"/>
    </row>
    <row r="211" spans="1:8" ht="18" customHeight="1">
      <c r="A211" s="35"/>
      <c r="B211" s="35"/>
      <c r="D211" s="33"/>
      <c r="E211" s="33"/>
      <c r="F211" s="33"/>
      <c r="G211" s="33"/>
      <c r="H211" s="33"/>
    </row>
    <row r="212" spans="1:8" ht="18" customHeight="1">
      <c r="A212" s="128" t="s">
        <v>128</v>
      </c>
      <c r="B212" s="129"/>
      <c r="C212" s="129"/>
      <c r="D212" s="39" t="s">
        <v>108</v>
      </c>
      <c r="E212" s="37" t="s">
        <v>139</v>
      </c>
      <c r="F212" s="36" t="s">
        <v>138</v>
      </c>
      <c r="G212" s="36" t="s">
        <v>3</v>
      </c>
      <c r="H212" s="36" t="s">
        <v>110</v>
      </c>
    </row>
    <row r="213" spans="1:8" ht="12.75">
      <c r="A213" s="22" t="s">
        <v>93</v>
      </c>
      <c r="B213" s="123" t="s">
        <v>94</v>
      </c>
      <c r="C213" s="124"/>
      <c r="D213" s="40">
        <f>21257.36+0+929.05+791.03+663.61+0</f>
        <v>23641.05</v>
      </c>
      <c r="E213" s="23">
        <f>36777.81+363.13+930+2350+430+2658</f>
        <v>43508.939999999995</v>
      </c>
      <c r="F213" s="23">
        <v>99042</v>
      </c>
      <c r="G213" s="23">
        <v>37580</v>
      </c>
      <c r="H213" s="23">
        <v>37580</v>
      </c>
    </row>
    <row r="214" spans="1:8" ht="12.75">
      <c r="A214" s="34" t="s">
        <v>124</v>
      </c>
      <c r="B214" s="35" t="s">
        <v>125</v>
      </c>
      <c r="C214" s="26"/>
      <c r="D214" s="40">
        <v>0</v>
      </c>
      <c r="E214" s="23">
        <v>1900</v>
      </c>
      <c r="F214" s="23">
        <v>2300</v>
      </c>
      <c r="G214" s="23">
        <v>0</v>
      </c>
      <c r="H214" s="23">
        <v>0</v>
      </c>
    </row>
    <row r="215" spans="1:8" ht="12.75">
      <c r="A215" s="22" t="s">
        <v>95</v>
      </c>
      <c r="B215" s="123" t="s">
        <v>96</v>
      </c>
      <c r="C215" s="124"/>
      <c r="D215" s="40">
        <f>483.11+55238.02+0</f>
        <v>55721.13</v>
      </c>
      <c r="E215" s="23">
        <f>597+418.61+25380</f>
        <v>26395.61</v>
      </c>
      <c r="F215" s="23">
        <v>42215.61</v>
      </c>
      <c r="G215" s="23">
        <v>42215.61</v>
      </c>
      <c r="H215" s="23">
        <v>42215.61</v>
      </c>
    </row>
    <row r="216" spans="1:8" ht="12.75">
      <c r="A216" s="22" t="s">
        <v>97</v>
      </c>
      <c r="B216" s="123" t="s">
        <v>98</v>
      </c>
      <c r="C216" s="124"/>
      <c r="D216" s="40">
        <f>25451.19+70028.34</f>
        <v>95479.53</v>
      </c>
      <c r="E216" s="23">
        <f>23785.56+77200</f>
        <v>100985.56</v>
      </c>
      <c r="F216" s="23">
        <v>100985.56</v>
      </c>
      <c r="G216" s="23">
        <v>100985.59</v>
      </c>
      <c r="H216" s="23">
        <v>100985.59</v>
      </c>
    </row>
    <row r="217" spans="1:8" ht="12.75">
      <c r="A217" s="22" t="s">
        <v>99</v>
      </c>
      <c r="B217" s="123" t="s">
        <v>100</v>
      </c>
      <c r="C217" s="124"/>
      <c r="D217" s="40">
        <v>0</v>
      </c>
      <c r="E217" s="23">
        <v>6567</v>
      </c>
      <c r="F217" s="23">
        <v>5088</v>
      </c>
      <c r="G217" s="23">
        <v>0</v>
      </c>
      <c r="H217" s="23">
        <v>0</v>
      </c>
    </row>
    <row r="218" spans="1:8" ht="12.75">
      <c r="A218" s="22" t="s">
        <v>101</v>
      </c>
      <c r="B218" s="123" t="s">
        <v>102</v>
      </c>
      <c r="C218" s="124"/>
      <c r="D218" s="40">
        <f>701753.51+0+2362.26+0+0</f>
        <v>704115.77</v>
      </c>
      <c r="E218" s="23">
        <f>800000+3223.93+1593+125+26700</f>
        <v>831641.93</v>
      </c>
      <c r="F218" s="23">
        <v>887414.69</v>
      </c>
      <c r="G218" s="23">
        <v>887414.69</v>
      </c>
      <c r="H218" s="23">
        <v>887414.69</v>
      </c>
    </row>
    <row r="219" spans="1:8" ht="12.75">
      <c r="A219" s="22" t="s">
        <v>103</v>
      </c>
      <c r="B219" s="123" t="s">
        <v>104</v>
      </c>
      <c r="C219" s="124"/>
      <c r="D219" s="40">
        <f>992404.55-23641.05-55721.13-95479.53-704115.77</f>
        <v>113447.06999999995</v>
      </c>
      <c r="E219" s="23">
        <f>1187158.5-5265.14-831641.93-6567-100985.56-26395.61-43508.94-1900</f>
        <v>170894.32000000007</v>
      </c>
      <c r="F219" s="23">
        <v>149809</v>
      </c>
      <c r="G219" s="23">
        <v>149809</v>
      </c>
      <c r="H219" s="23">
        <v>149809</v>
      </c>
    </row>
    <row r="220" spans="1:8" ht="12.75">
      <c r="A220" s="22" t="s">
        <v>105</v>
      </c>
      <c r="B220" s="123" t="s">
        <v>106</v>
      </c>
      <c r="C220" s="124"/>
      <c r="D220" s="40">
        <v>0</v>
      </c>
      <c r="E220" s="23">
        <v>5265.14</v>
      </c>
      <c r="F220" s="23">
        <v>0</v>
      </c>
      <c r="G220" s="23">
        <v>0</v>
      </c>
      <c r="H220" s="23">
        <v>0</v>
      </c>
    </row>
    <row r="221" spans="1:8" ht="12.75">
      <c r="A221" s="24" t="s">
        <v>107</v>
      </c>
      <c r="B221" s="122"/>
      <c r="C221" s="121"/>
      <c r="D221" s="41">
        <f>D213+D214+D215+D216+D217+D218+D219+D220</f>
        <v>992404.5499999999</v>
      </c>
      <c r="E221" s="25">
        <f>E213+E214+E215+E216+E217+E218+E219+E220</f>
        <v>1187158.5</v>
      </c>
      <c r="F221" s="25">
        <f>SUM(F213:F220)</f>
        <v>1286854.8599999999</v>
      </c>
      <c r="G221" s="25">
        <f>SUM(G213:G220)</f>
        <v>1218004.89</v>
      </c>
      <c r="H221" s="25">
        <v>1218004.89</v>
      </c>
    </row>
    <row r="222" ht="53.25" customHeight="1" hidden="1"/>
    <row r="223" ht="53.25" customHeight="1"/>
    <row r="224" spans="1:7" ht="12.75">
      <c r="A224" s="26" t="s">
        <v>193</v>
      </c>
      <c r="G224" s="26" t="s">
        <v>126</v>
      </c>
    </row>
    <row r="225" ht="12.75">
      <c r="G225" s="26" t="s">
        <v>127</v>
      </c>
    </row>
  </sheetData>
  <sheetProtection/>
  <mergeCells count="95">
    <mergeCell ref="B161:C161"/>
    <mergeCell ref="B155:C155"/>
    <mergeCell ref="B156:C156"/>
    <mergeCell ref="A202:C202"/>
    <mergeCell ref="B203:C203"/>
    <mergeCell ref="B205:C205"/>
    <mergeCell ref="B192:C192"/>
    <mergeCell ref="B193:C193"/>
    <mergeCell ref="B194:C194"/>
    <mergeCell ref="B173:C173"/>
    <mergeCell ref="B9:C9"/>
    <mergeCell ref="B10:C10"/>
    <mergeCell ref="B11:C11"/>
    <mergeCell ref="A1:E1"/>
    <mergeCell ref="B8:C8"/>
    <mergeCell ref="B98:C98"/>
    <mergeCell ref="B25:C25"/>
    <mergeCell ref="B26:C26"/>
    <mergeCell ref="B19:C19"/>
    <mergeCell ref="B20:C20"/>
    <mergeCell ref="B12:C12"/>
    <mergeCell ref="B13:C13"/>
    <mergeCell ref="B38:C38"/>
    <mergeCell ref="B39:C39"/>
    <mergeCell ref="B37:C37"/>
    <mergeCell ref="B30:C30"/>
    <mergeCell ref="B31:C31"/>
    <mergeCell ref="B51:C51"/>
    <mergeCell ref="B52:C52"/>
    <mergeCell ref="B45:C45"/>
    <mergeCell ref="B46:C46"/>
    <mergeCell ref="B43:C43"/>
    <mergeCell ref="B44:C44"/>
    <mergeCell ref="B65:C65"/>
    <mergeCell ref="B66:C66"/>
    <mergeCell ref="B61:C61"/>
    <mergeCell ref="B62:C62"/>
    <mergeCell ref="B56:C56"/>
    <mergeCell ref="B57:C57"/>
    <mergeCell ref="B78:C78"/>
    <mergeCell ref="B79:C79"/>
    <mergeCell ref="B74:C74"/>
    <mergeCell ref="B75:C75"/>
    <mergeCell ref="B70:C70"/>
    <mergeCell ref="B71:C71"/>
    <mergeCell ref="B94:C94"/>
    <mergeCell ref="B108:C108"/>
    <mergeCell ref="B93:C93"/>
    <mergeCell ref="B86:C86"/>
    <mergeCell ref="B87:C87"/>
    <mergeCell ref="B82:C82"/>
    <mergeCell ref="B83:C83"/>
    <mergeCell ref="B99:C99"/>
    <mergeCell ref="B103:C103"/>
    <mergeCell ref="B104:C104"/>
    <mergeCell ref="B125:C125"/>
    <mergeCell ref="B126:C126"/>
    <mergeCell ref="B120:C120"/>
    <mergeCell ref="B121:C121"/>
    <mergeCell ref="B114:C114"/>
    <mergeCell ref="B109:C109"/>
    <mergeCell ref="B113:C113"/>
    <mergeCell ref="B138:C138"/>
    <mergeCell ref="B139:C139"/>
    <mergeCell ref="B136:C136"/>
    <mergeCell ref="B137:C137"/>
    <mergeCell ref="B131:C131"/>
    <mergeCell ref="B132:C132"/>
    <mergeCell ref="B144:C144"/>
    <mergeCell ref="B145:C145"/>
    <mergeCell ref="B149:C149"/>
    <mergeCell ref="B150:C150"/>
    <mergeCell ref="B160:C160"/>
    <mergeCell ref="B206:C206"/>
    <mergeCell ref="B176:C176"/>
    <mergeCell ref="B177:C177"/>
    <mergeCell ref="B171:C171"/>
    <mergeCell ref="B172:C172"/>
    <mergeCell ref="B170:C170"/>
    <mergeCell ref="B180:C180"/>
    <mergeCell ref="B181:C181"/>
    <mergeCell ref="A212:C212"/>
    <mergeCell ref="B213:C213"/>
    <mergeCell ref="B215:C215"/>
    <mergeCell ref="B187:C187"/>
    <mergeCell ref="B199:C199"/>
    <mergeCell ref="B185:C185"/>
    <mergeCell ref="B186:C186"/>
    <mergeCell ref="B207:C207"/>
    <mergeCell ref="B221:C221"/>
    <mergeCell ref="B219:C219"/>
    <mergeCell ref="B220:C220"/>
    <mergeCell ref="B216:C216"/>
    <mergeCell ref="B217:C217"/>
    <mergeCell ref="B218:C21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2022-12-27T10:14:35Z</dcterms:created>
  <dcterms:modified xsi:type="dcterms:W3CDTF">2023-12-11T09:36:10Z</dcterms:modified>
  <cp:category/>
  <cp:version/>
  <cp:contentType/>
  <cp:contentStatus/>
</cp:coreProperties>
</file>