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activeTab="1"/>
  </bookViews>
  <sheets>
    <sheet name="SAŽETAK" sheetId="1" r:id="rId1"/>
    <sheet name=" Račun prihoda i rashoda" sheetId="3" r:id="rId2"/>
    <sheet name="Račun financiranja " sheetId="9" r:id="rId3"/>
    <sheet name="POSEBNI DIO" sheetId="7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7" i="3"/>
  <c r="G23" i="3"/>
  <c r="J45" i="3" l="1"/>
  <c r="J46" i="3"/>
  <c r="J42" i="3"/>
  <c r="J40" i="3"/>
  <c r="J36" i="3"/>
  <c r="G34" i="3" l="1"/>
  <c r="L99" i="3"/>
  <c r="K99" i="3"/>
  <c r="G99" i="3"/>
  <c r="L80" i="3"/>
  <c r="K80" i="3"/>
  <c r="G80" i="3"/>
  <c r="L77" i="3"/>
  <c r="K77" i="3"/>
  <c r="G77" i="3"/>
  <c r="L69" i="3"/>
  <c r="K69" i="3"/>
  <c r="G69" i="3"/>
  <c r="L57" i="3"/>
  <c r="K57" i="3"/>
  <c r="G57" i="3"/>
  <c r="L50" i="3"/>
  <c r="K50" i="3"/>
  <c r="G50" i="3"/>
  <c r="L45" i="3"/>
  <c r="K45" i="3"/>
  <c r="G45" i="3"/>
  <c r="L42" i="3"/>
  <c r="K42" i="3"/>
  <c r="G42" i="3"/>
  <c r="L40" i="3"/>
  <c r="K40" i="3"/>
  <c r="G40" i="3"/>
  <c r="L36" i="3"/>
  <c r="K36" i="3"/>
  <c r="G36" i="3"/>
  <c r="L11" i="9"/>
  <c r="L12" i="9"/>
  <c r="L13" i="9"/>
  <c r="L17" i="9"/>
  <c r="L23" i="9"/>
  <c r="L22" i="9"/>
  <c r="L21" i="9"/>
  <c r="I67" i="3"/>
  <c r="I68" i="3"/>
  <c r="H68" i="3"/>
  <c r="H67" i="3"/>
  <c r="I34" i="3"/>
  <c r="H91" i="3"/>
  <c r="I100" i="3"/>
  <c r="H100" i="3"/>
  <c r="I36" i="3" l="1"/>
  <c r="H90" i="3"/>
  <c r="H99" i="3"/>
  <c r="I69" i="3"/>
  <c r="I57" i="3"/>
  <c r="H50" i="3"/>
  <c r="I50" i="3"/>
  <c r="I45" i="3"/>
  <c r="I42" i="3"/>
  <c r="H42" i="3"/>
  <c r="I40" i="3"/>
  <c r="H40" i="3"/>
  <c r="H36" i="3"/>
  <c r="H34" i="3" s="1"/>
  <c r="H77" i="3"/>
  <c r="H69" i="3"/>
  <c r="H57" i="3"/>
  <c r="H45" i="3"/>
  <c r="J54" i="3"/>
  <c r="J52" i="3"/>
  <c r="J56" i="3" l="1"/>
  <c r="J43" i="3"/>
  <c r="J85" i="3"/>
  <c r="J84" i="3" s="1"/>
  <c r="J47" i="3"/>
  <c r="J48" i="3"/>
  <c r="J55" i="3"/>
  <c r="J50" i="3" s="1"/>
  <c r="J51" i="3"/>
  <c r="J53" i="3"/>
  <c r="J81" i="3"/>
  <c r="J80" i="3" s="1"/>
  <c r="J75" i="3"/>
  <c r="J74" i="3"/>
  <c r="J73" i="3"/>
  <c r="J70" i="3"/>
  <c r="J66" i="3"/>
  <c r="J65" i="3"/>
  <c r="J64" i="3"/>
  <c r="J63" i="3"/>
  <c r="J62" i="3"/>
  <c r="J61" i="3"/>
  <c r="J59" i="3"/>
  <c r="J58" i="3"/>
  <c r="I78" i="3"/>
  <c r="I77" i="3" s="1"/>
  <c r="H78" i="3"/>
  <c r="J78" i="3"/>
  <c r="J77" i="3" s="1"/>
  <c r="J72" i="3"/>
  <c r="J41" i="3"/>
  <c r="J37" i="3"/>
  <c r="J91" i="3"/>
  <c r="J90" i="3" s="1"/>
  <c r="I90" i="3"/>
  <c r="I87" i="3"/>
  <c r="H87" i="3"/>
  <c r="J100" i="3"/>
  <c r="J99" i="3" s="1"/>
  <c r="I99" i="3"/>
  <c r="J35" i="3" l="1"/>
  <c r="J57" i="3"/>
  <c r="J34" i="3" s="1"/>
  <c r="J69" i="3"/>
  <c r="H86" i="3"/>
  <c r="I86" i="3"/>
  <c r="H13" i="3"/>
  <c r="I13" i="3" l="1"/>
  <c r="J17" i="3" l="1"/>
  <c r="J23" i="3"/>
  <c r="J13" i="3"/>
  <c r="H23" i="3"/>
  <c r="I17" i="3" l="1"/>
  <c r="H17" i="3"/>
  <c r="F143" i="7" l="1"/>
  <c r="F142" i="7" s="1"/>
  <c r="G143" i="7"/>
  <c r="G142" i="7" s="1"/>
  <c r="F117" i="7"/>
  <c r="F116" i="7" s="1"/>
  <c r="G117" i="7"/>
  <c r="H117" i="7"/>
  <c r="H93" i="7"/>
  <c r="G93" i="7"/>
  <c r="F93" i="7"/>
  <c r="H66" i="7"/>
  <c r="F66" i="7"/>
  <c r="F55" i="7"/>
  <c r="H13" i="7"/>
  <c r="G13" i="7"/>
  <c r="G14" i="7"/>
  <c r="F14" i="7"/>
  <c r="F13" i="7" s="1"/>
  <c r="F15" i="7"/>
  <c r="F54" i="7" l="1"/>
  <c r="L13" i="3"/>
  <c r="L17" i="3"/>
  <c r="L23" i="3"/>
  <c r="H55" i="7" l="1"/>
  <c r="I54" i="7" s="1"/>
  <c r="I9" i="7"/>
  <c r="I10" i="7"/>
  <c r="I13" i="7"/>
  <c r="I14" i="7"/>
  <c r="I15" i="7"/>
  <c r="I16" i="7"/>
  <c r="I20" i="7"/>
  <c r="I23" i="7"/>
  <c r="I30" i="7"/>
  <c r="I33" i="7"/>
  <c r="I34" i="7"/>
  <c r="I35" i="7"/>
  <c r="I37" i="7"/>
  <c r="I38" i="7"/>
  <c r="I39" i="7"/>
  <c r="I40" i="7"/>
  <c r="I43" i="7"/>
  <c r="I44" i="7"/>
  <c r="I47" i="7"/>
  <c r="I48" i="7"/>
  <c r="I49" i="7"/>
  <c r="I50" i="7"/>
  <c r="I51" i="7"/>
  <c r="I56" i="7"/>
  <c r="I61" i="7"/>
  <c r="I62" i="7"/>
  <c r="I63" i="7"/>
  <c r="I64" i="7"/>
  <c r="I66" i="7"/>
  <c r="I67" i="7"/>
  <c r="I68" i="7"/>
  <c r="I69" i="7"/>
  <c r="I70" i="7"/>
  <c r="I78" i="7"/>
  <c r="I81" i="7"/>
  <c r="I82" i="7"/>
  <c r="I83" i="7"/>
  <c r="I84" i="7"/>
  <c r="I85" i="7"/>
  <c r="I86" i="7"/>
  <c r="I87" i="7"/>
  <c r="I88" i="7"/>
  <c r="I91" i="7"/>
  <c r="I92" i="7"/>
  <c r="I93" i="7"/>
  <c r="I94" i="7"/>
  <c r="I98" i="7"/>
  <c r="I105" i="7"/>
  <c r="I106" i="7"/>
  <c r="I108" i="7"/>
  <c r="I111" i="7"/>
  <c r="I112" i="7"/>
  <c r="I113" i="7"/>
  <c r="I115" i="7"/>
  <c r="I116" i="7"/>
  <c r="I117" i="7"/>
  <c r="I118" i="7"/>
  <c r="I121" i="7"/>
  <c r="I124" i="7"/>
  <c r="I127" i="7"/>
  <c r="I128" i="7"/>
  <c r="I134" i="7"/>
  <c r="I135" i="7"/>
  <c r="I136" i="7"/>
  <c r="I137" i="7"/>
  <c r="I154" i="7"/>
  <c r="I155" i="7"/>
  <c r="I156" i="7"/>
  <c r="I157" i="7"/>
  <c r="I161" i="7"/>
  <c r="I162" i="7"/>
  <c r="I163" i="7"/>
  <c r="I164" i="7"/>
  <c r="I170" i="7"/>
  <c r="I171" i="7"/>
  <c r="I172" i="7"/>
  <c r="I216" i="7"/>
  <c r="I217" i="7"/>
  <c r="I218" i="7"/>
  <c r="I219" i="7"/>
  <c r="I228" i="7"/>
  <c r="I229" i="7"/>
  <c r="I230" i="7"/>
  <c r="I231" i="7"/>
  <c r="I236" i="7"/>
  <c r="I261" i="7"/>
  <c r="I262" i="7"/>
  <c r="I263" i="7"/>
  <c r="I264" i="7"/>
  <c r="I266" i="7"/>
  <c r="I267" i="7"/>
  <c r="I276" i="7"/>
  <c r="I277" i="7"/>
  <c r="I278" i="7"/>
  <c r="I280" i="7"/>
  <c r="I282" i="7"/>
  <c r="I283" i="7"/>
  <c r="I284" i="7"/>
  <c r="I285" i="7"/>
  <c r="I287" i="7"/>
  <c r="I288" i="7"/>
  <c r="I289" i="7"/>
  <c r="I290" i="7"/>
  <c r="I293" i="7"/>
  <c r="I294" i="7"/>
  <c r="I295" i="7"/>
  <c r="I296" i="7"/>
  <c r="I310" i="7"/>
  <c r="I319" i="7"/>
  <c r="I320" i="7"/>
  <c r="I321" i="7"/>
  <c r="I322" i="7"/>
  <c r="I333" i="7"/>
  <c r="I335" i="7"/>
  <c r="I336" i="7"/>
  <c r="I337" i="7"/>
  <c r="I338" i="7"/>
  <c r="I341" i="7"/>
  <c r="I344" i="7"/>
  <c r="I346" i="7"/>
  <c r="I347" i="7"/>
  <c r="I348" i="7"/>
  <c r="I349" i="7"/>
  <c r="I350" i="7"/>
  <c r="I351" i="7"/>
  <c r="I8" i="7"/>
  <c r="K23" i="9"/>
  <c r="J22" i="9"/>
  <c r="I22" i="9"/>
  <c r="I21" i="9" s="1"/>
  <c r="H22" i="9"/>
  <c r="H21" i="9" s="1"/>
  <c r="G22" i="9"/>
  <c r="G21" i="9" s="1"/>
  <c r="J21" i="9"/>
  <c r="K20" i="9"/>
  <c r="J19" i="9"/>
  <c r="G19" i="9"/>
  <c r="G18" i="9" s="1"/>
  <c r="K17" i="9"/>
  <c r="J16" i="9"/>
  <c r="L16" i="9" s="1"/>
  <c r="I16" i="9"/>
  <c r="H16" i="9"/>
  <c r="G16" i="9"/>
  <c r="J15" i="9"/>
  <c r="L15" i="9" s="1"/>
  <c r="I15" i="9"/>
  <c r="H15" i="9"/>
  <c r="G15" i="9"/>
  <c r="K13" i="9"/>
  <c r="J12" i="9"/>
  <c r="I12" i="9"/>
  <c r="I11" i="9" s="1"/>
  <c r="H12" i="9"/>
  <c r="H11" i="9" s="1"/>
  <c r="G12" i="9"/>
  <c r="G11" i="9" s="1"/>
  <c r="I16" i="3"/>
  <c r="I12" i="3"/>
  <c r="I11" i="3" s="1"/>
  <c r="H12" i="3"/>
  <c r="H11" i="3" s="1"/>
  <c r="H16" i="3"/>
  <c r="H15" i="3" s="1"/>
  <c r="H22" i="3"/>
  <c r="K100" i="3"/>
  <c r="K34" i="3"/>
  <c r="L100" i="3"/>
  <c r="L34" i="3"/>
  <c r="G103" i="3"/>
  <c r="I103" i="3"/>
  <c r="K12" i="9" l="1"/>
  <c r="K15" i="9"/>
  <c r="K16" i="9"/>
  <c r="K19" i="9"/>
  <c r="G10" i="9"/>
  <c r="G9" i="9" s="1"/>
  <c r="K21" i="9"/>
  <c r="K22" i="9"/>
  <c r="H10" i="9"/>
  <c r="H9" i="9" s="1"/>
  <c r="I10" i="9"/>
  <c r="I9" i="9" s="1"/>
  <c r="J18" i="9"/>
  <c r="H10" i="3"/>
  <c r="H9" i="3" s="1"/>
  <c r="I15" i="3"/>
  <c r="I55" i="7"/>
  <c r="I53" i="7"/>
  <c r="K18" i="9"/>
  <c r="J11" i="9"/>
  <c r="H103" i="3"/>
  <c r="K23" i="3"/>
  <c r="J22" i="3"/>
  <c r="L22" i="3" s="1"/>
  <c r="J19" i="3"/>
  <c r="J16" i="3"/>
  <c r="J15" i="3" s="1"/>
  <c r="J12" i="3"/>
  <c r="J11" i="3" s="1"/>
  <c r="L11" i="3" s="1"/>
  <c r="G22" i="3"/>
  <c r="G21" i="3" s="1"/>
  <c r="G16" i="3"/>
  <c r="G15" i="3" s="1"/>
  <c r="G11" i="3"/>
  <c r="K20" i="3"/>
  <c r="K17" i="3"/>
  <c r="K13" i="3"/>
  <c r="L15" i="1"/>
  <c r="L16" i="1"/>
  <c r="L12" i="1"/>
  <c r="K15" i="1"/>
  <c r="K16" i="1"/>
  <c r="H14" i="1"/>
  <c r="I14" i="1"/>
  <c r="J14" i="1"/>
  <c r="H11" i="1"/>
  <c r="I11" i="1"/>
  <c r="J11" i="1"/>
  <c r="G14" i="1"/>
  <c r="G11" i="1"/>
  <c r="K12" i="1"/>
  <c r="G17" i="1" l="1"/>
  <c r="L12" i="3"/>
  <c r="J18" i="3"/>
  <c r="L16" i="3"/>
  <c r="L15" i="3"/>
  <c r="I10" i="3"/>
  <c r="J10" i="9"/>
  <c r="L10" i="9" s="1"/>
  <c r="K11" i="9"/>
  <c r="K22" i="3"/>
  <c r="J21" i="3"/>
  <c r="K19" i="3"/>
  <c r="K15" i="3"/>
  <c r="K16" i="3"/>
  <c r="K11" i="3"/>
  <c r="K12" i="3"/>
  <c r="K11" i="1"/>
  <c r="K14" i="1"/>
  <c r="L14" i="1"/>
  <c r="L11" i="1"/>
  <c r="J17" i="1"/>
  <c r="H17" i="1"/>
  <c r="I17" i="1"/>
  <c r="J10" i="3" l="1"/>
  <c r="J9" i="3" s="1"/>
  <c r="L21" i="3"/>
  <c r="K18" i="3"/>
  <c r="I9" i="3"/>
  <c r="J9" i="9"/>
  <c r="K10" i="9"/>
  <c r="K21" i="3"/>
  <c r="G10" i="3"/>
  <c r="G9" i="3" s="1"/>
  <c r="K9" i="9" l="1"/>
  <c r="L9" i="9"/>
  <c r="K9" i="3"/>
  <c r="L10" i="3"/>
  <c r="L9" i="3"/>
  <c r="K10" i="3"/>
  <c r="J86" i="3"/>
  <c r="L86" i="3" s="1"/>
  <c r="K86" i="3" l="1"/>
  <c r="J103" i="3"/>
  <c r="L103" i="3" l="1"/>
  <c r="K103" i="3"/>
</calcChain>
</file>

<file path=xl/sharedStrings.xml><?xml version="1.0" encoding="utf-8"?>
<sst xmlns="http://schemas.openxmlformats.org/spreadsheetml/2006/main" count="832" uniqueCount="350">
  <si>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</si>
  <si>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</si>
  <si>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</si>
  <si>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</si>
  <si>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</si>
  <si>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</si>
  <si>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</si>
  <si>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</si>
  <si>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II. POSEBNI DIO</t>
  </si>
  <si>
    <t>I. OPĆI DIO</t>
  </si>
  <si>
    <t>Materijalni rashodi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</si>
  <si>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</si>
  <si>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</si>
  <si>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</si>
  <si>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</si>
  <si>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</si>
  <si>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</si>
  <si>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</si>
  <si>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Pomoći od inozemnih vlada</t>
  </si>
  <si>
    <t xml:space="preserve"> Prihodi od prodaje proizvoda i robe te pruženih usluga i prihodi od donacija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</si>
  <si>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</si>
  <si>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</si>
  <si>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</si>
  <si>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</si>
  <si>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</si>
  <si>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</si>
  <si>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</si>
  <si>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</si>
  <si>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 xml:space="preserve">IZVJEŠTAJ RAČUNA FINANCIRANJA PREMA EKONOMSKOJ KLASIFIKACIJI </t>
  </si>
  <si>
    <t>5=4/3*100</t>
  </si>
  <si>
    <t>TEKUĆI PLAN 2023.*</t>
  </si>
  <si>
    <t>INDEKS**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</si>
  <si>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</si>
  <si>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</si>
  <si>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</si>
  <si>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</si>
  <si>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</si>
  <si>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</si>
  <si>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</si>
  <si>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</si>
  <si>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</si>
  <si>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</si>
  <si>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</si>
  <si>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</si>
  <si>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</si>
  <si>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</si>
  <si>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</si>
  <si>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PRIJENOS  VIŠKA/MANJKA U SLJEDEĆE RAZDOBLJE</t>
  </si>
  <si>
    <t xml:space="preserve"> RAČUN PRIHODA I RASHODA </t>
  </si>
  <si>
    <t>IZVJEŠTAJ PO PROGRAMSKOJ KLASIFIKACIJI</t>
  </si>
  <si>
    <t>RAČUN FINANCIRANJA</t>
  </si>
  <si>
    <t xml:space="preserve">IZVRŠENJE 
1.-6.2023. </t>
  </si>
  <si>
    <t>Tekuće pomoći proračunski korisnicima iz pror.koji im nije nadležan</t>
  </si>
  <si>
    <t>Ostali nespomenuti prihodi</t>
  </si>
  <si>
    <t>Prihodi od upr.i admin. Pristojbi</t>
  </si>
  <si>
    <t>Prihodi po posebnim propisima</t>
  </si>
  <si>
    <t>Donacije</t>
  </si>
  <si>
    <t>Tekuće donacije</t>
  </si>
  <si>
    <t>Pridodi iz nadležnog proračuna</t>
  </si>
  <si>
    <t>Pridodi iz nadležnog proračuna za financiranje rashode poslovanja</t>
  </si>
  <si>
    <t>3</t>
  </si>
  <si>
    <t>31</t>
  </si>
  <si>
    <t>311</t>
  </si>
  <si>
    <t>3111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</si>
  <si>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</si>
  <si>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</si>
  <si>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</si>
  <si>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</si>
  <si>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</si>
  <si>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</si>
  <si>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</si>
  <si>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</si>
  <si>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321</t>
  </si>
  <si>
    <t>3211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</si>
  <si>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</si>
  <si>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</si>
  <si>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</si>
  <si>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</si>
  <si>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</si>
  <si>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</si>
  <si>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</si>
  <si>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</si>
  <si>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</si>
  <si>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</si>
  <si>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</si>
  <si>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</si>
  <si>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</si>
  <si>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</si>
  <si>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</si>
  <si>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</si>
  <si>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</si>
  <si>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</si>
  <si>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</si>
  <si>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</si>
  <si>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</si>
  <si>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</si>
  <si>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</si>
  <si>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</si>
  <si>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</si>
  <si>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</si>
  <si>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</si>
  <si>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</si>
  <si>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</si>
  <si>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</si>
  <si>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</si>
  <si>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</si>
  <si>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</si>
  <si>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</si>
  <si>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</si>
  <si>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</si>
  <si>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</si>
  <si>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</si>
  <si>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</si>
  <si>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</si>
  <si>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</si>
  <si>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</si>
  <si>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</si>
  <si>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</si>
  <si>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</si>
  <si>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</si>
  <si>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</si>
  <si>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</si>
  <si>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</si>
  <si>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</si>
  <si>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</si>
  <si>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</si>
  <si>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</si>
  <si>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</si>
  <si>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</si>
  <si>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</si>
  <si>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37</t>
  </si>
  <si>
    <t>372</t>
  </si>
  <si>
    <t>Ostale naknade građanima i kućanstvima iz proračuna</t>
  </si>
  <si>
    <t>3722</t>
  </si>
  <si>
    <t>Naknade građanima i kućanstvima u naravi</t>
  </si>
  <si>
    <t>Naknade građanima i kućanstvima iz EU sredstava</t>
  </si>
  <si>
    <t>38</t>
  </si>
  <si>
    <t>Ostali rashodi</t>
  </si>
  <si>
    <t>381</t>
  </si>
  <si>
    <t>3812</t>
  </si>
  <si>
    <t>Tekuće donacije u naravi</t>
  </si>
  <si>
    <t>4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</si>
  <si>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</si>
  <si>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</si>
  <si>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</si>
  <si>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</si>
  <si>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</si>
  <si>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</si>
  <si>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</si>
  <si>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</si>
  <si>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</si>
  <si>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</si>
  <si>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</si>
  <si>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</si>
  <si>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</si>
  <si>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</si>
  <si>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</si>
  <si>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</si>
  <si>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</si>
  <si>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</si>
  <si>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Vojna oprema</t>
  </si>
  <si>
    <t>Knjige, umjetnička djela i ostale izložbene vrijednosti</t>
  </si>
  <si>
    <t>Knjige</t>
  </si>
  <si>
    <t>Nematerijalna proizvedena imovina</t>
  </si>
  <si>
    <t>Ulaganja u računalne programe</t>
  </si>
  <si>
    <t>Zatrzne kamate</t>
  </si>
  <si>
    <t>UKUPNO RASHODI</t>
  </si>
  <si>
    <t>Tekuće pomoći proračunskim korisnicima iz proračuna koji im nije nadležan</t>
  </si>
  <si>
    <t>POZICIJA</t>
  </si>
  <si>
    <t>RAČUN</t>
  </si>
  <si>
    <t>OPIS</t>
  </si>
  <si>
    <t>IF</t>
  </si>
  <si>
    <t>OSTVARENJE 6.2023</t>
  </si>
  <si>
    <t>00902</t>
  </si>
  <si>
    <t>OSNOVNOŠKOLSKE USTANOVE</t>
  </si>
  <si>
    <t>2101</t>
  </si>
  <si>
    <t>Redovna djelatnost osnovnih škola - minimalni standard</t>
  </si>
  <si>
    <t>Funkcija 0912</t>
  </si>
  <si>
    <t>A210101</t>
  </si>
  <si>
    <t>Materijalni rashodi OŠ po kriterijima</t>
  </si>
  <si>
    <t>RASHODI POSLOVANJA</t>
  </si>
  <si>
    <t>MATERIJALNI RASHODI</t>
  </si>
  <si>
    <t>NAKNADE TROŠKOVA ZAPOSLENIMA</t>
  </si>
  <si>
    <t>233273</t>
  </si>
  <si>
    <t>SLUŽBENA PUTOVANJA</t>
  </si>
  <si>
    <t>48005</t>
  </si>
  <si>
    <t>233274</t>
  </si>
  <si>
    <t>STRUČNO USAVRŠAVANJE ZAPOSLENIKA</t>
  </si>
  <si>
    <t>RASHODI ZA MATERIJAL I ENERG.</t>
  </si>
  <si>
    <t>233275</t>
  </si>
  <si>
    <t>UREDSKI MATERIJAL I OSTALI MATERIJALNI RASHODI</t>
  </si>
  <si>
    <t>233276</t>
  </si>
  <si>
    <t>MAT.I DIJELOVI ZA TEKUĆE I INVEST.ODRŽAVANJE</t>
  </si>
  <si>
    <t>RASHODI ZA USLUGE</t>
  </si>
  <si>
    <t>233277</t>
  </si>
  <si>
    <t>USLUGE TELEFONA, POŠTE I PRIJEVOZA</t>
  </si>
  <si>
    <t>233278</t>
  </si>
  <si>
    <t>USLUGE TEKUĆEG I INVESTICIJSKOG ODRŽAVANJA</t>
  </si>
  <si>
    <t>233280</t>
  </si>
  <si>
    <t>KOMUNALNE USLUGE</t>
  </si>
  <si>
    <t>233281</t>
  </si>
  <si>
    <t>INTELEKTUALNE I OSOBNE  USLUGE</t>
  </si>
  <si>
    <t>233282</t>
  </si>
  <si>
    <t>RAČUNALNE USLUGE</t>
  </si>
  <si>
    <t>OST.NESPOM.RASHODI POSLOVANJA</t>
  </si>
  <si>
    <t>233283</t>
  </si>
  <si>
    <t>ČLANARINE I NORME</t>
  </si>
  <si>
    <t>233284</t>
  </si>
  <si>
    <t>3295</t>
  </si>
  <si>
    <t>PRISTOJBE I NAKNADE</t>
  </si>
  <si>
    <t>FINANCIJSKI RASHODI</t>
  </si>
  <si>
    <t>OSTALI FINANCIJSKI RASHODI</t>
  </si>
  <si>
    <t>233285</t>
  </si>
  <si>
    <t>BANKARSKE USLUGE I USLUGE PLATNOG PROMETA</t>
  </si>
  <si>
    <t>A210102</t>
  </si>
  <si>
    <t>Materijalni rashodi OŠ po stvarnom trošku</t>
  </si>
  <si>
    <t>233286</t>
  </si>
  <si>
    <t>ZDRAVSTVENE I VETERINARSKE USLUGE</t>
  </si>
  <si>
    <t>NAKN.GRAĐ.,KUĆANSTVIMA NA TEMELJ.OSIGURANJA I DR.NAKNADE</t>
  </si>
  <si>
    <t>OSTALE NAKNADE GRAĐANIMA I KUČANSTVIMA IZ PRORAČUNA</t>
  </si>
  <si>
    <t>233287</t>
  </si>
  <si>
    <t>PRIJEVOZ UČENIKA</t>
  </si>
  <si>
    <t>A210103</t>
  </si>
  <si>
    <t>Materijalni rashodi OŠ po stvarnom trošku-drugi izvori</t>
  </si>
  <si>
    <t>233288</t>
  </si>
  <si>
    <t>53082</t>
  </si>
  <si>
    <t>A210104</t>
  </si>
  <si>
    <t>Plaće i drugi rashodi za zaposlene osnovnih škola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</si>
  <si>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</si>
  <si>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</si>
  <si>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</si>
  <si>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</si>
  <si>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</si>
  <si>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</si>
  <si>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ZA PRIJEVOZ, ZA RAD NA TERENU I ODVOJENI ŽIVOT</t>
  </si>
  <si>
    <t>2102</t>
  </si>
  <si>
    <t>Redovna djelatnost osnovnih škola - iznad standarda</t>
  </si>
  <si>
    <t>A210201</t>
  </si>
  <si>
    <t>Materijalni rashodi OŠ po stvarnom trošku iznad standarda</t>
  </si>
  <si>
    <t>ENERGIJA</t>
  </si>
  <si>
    <t>11001</t>
  </si>
  <si>
    <t>PREMIJE OSIGURANJA</t>
  </si>
  <si>
    <t>2301</t>
  </si>
  <si>
    <t>Programi obrazovanja iznad standarda</t>
  </si>
  <si>
    <t>A230106</t>
  </si>
  <si>
    <t>Školska kuhinja</t>
  </si>
  <si>
    <t>47300</t>
  </si>
  <si>
    <t>MATERIJAL I SIROVINE</t>
  </si>
  <si>
    <t>SLUŽBENA, RADNA I ZAŠTITNA ODJEĆA I OBUĆA</t>
  </si>
  <si>
    <t>OSTALE USLUGE</t>
  </si>
  <si>
    <t>OSTALI NESPOMENUTI RASHODI POSLOVANJA</t>
  </si>
  <si>
    <t>A230107</t>
  </si>
  <si>
    <t>Produženi boravak</t>
  </si>
  <si>
    <t>Funkcija 0950</t>
  </si>
  <si>
    <t>OSTALI RASHODI</t>
  </si>
  <si>
    <t>TEKUĆE DONACIJE</t>
  </si>
  <si>
    <t>A230116</t>
  </si>
  <si>
    <t>Školski list, časopisi i knjige</t>
  </si>
  <si>
    <t>RASHODI ZA NABAVU NEFINANCIJSKE IMOVINE</t>
  </si>
  <si>
    <t>RASHODI ZA NABAVU PROIZVEDENE DUGOTRAJNE IMOVINE</t>
  </si>
  <si>
    <t>424</t>
  </si>
  <si>
    <t>KNJIGE,UMJ.DJELA I OST.IZLOŽB.VRIJEDN.</t>
  </si>
  <si>
    <t>KNJIGE</t>
  </si>
  <si>
    <t>A230119</t>
  </si>
  <si>
    <t>Nagrade za učenike</t>
  </si>
  <si>
    <t>INTELEKTUALNE I OSOBNE USLUGE</t>
  </si>
  <si>
    <t>A230137</t>
  </si>
  <si>
    <t>Stručno usavršavanje učitelja</t>
  </si>
  <si>
    <t>OSTALE NAKNADE TROŠKOVA ZAPOSLENIMA</t>
  </si>
  <si>
    <t>A230184</t>
  </si>
  <si>
    <t>Zavičajna nastava</t>
  </si>
  <si>
    <t>2302</t>
  </si>
  <si>
    <t>Funkcija 0960</t>
  </si>
  <si>
    <t>A230202</t>
  </si>
  <si>
    <t>Građanski odgoj</t>
  </si>
  <si>
    <t>A230203</t>
  </si>
  <si>
    <t>Medni dani</t>
  </si>
  <si>
    <t>53060</t>
  </si>
  <si>
    <t>A230208</t>
  </si>
  <si>
    <t>Prehrana za učenike u OŠ</t>
  </si>
  <si>
    <t>A230209</t>
  </si>
  <si>
    <t>Menstrualne higijenske potrepštine</t>
  </si>
  <si>
    <t>TEKUĆE DONACIJE  U NARAVI</t>
  </si>
  <si>
    <t>53102</t>
  </si>
  <si>
    <t>2405</t>
  </si>
  <si>
    <t>Opremanje u osnovnim školama</t>
  </si>
  <si>
    <t>K240501</t>
  </si>
  <si>
    <t>Školski namještaj i oprema</t>
  </si>
  <si>
    <t>POSTROJENJA I OPREMA</t>
  </si>
  <si>
    <t>UREDSKA OPREMA I NAMJEŠTAJ</t>
  </si>
  <si>
    <t>UREĐAJI, STROJEVI I OPREMA ZA OSTALE NAMJENE</t>
  </si>
  <si>
    <t>K240502</t>
  </si>
  <si>
    <t>Opremanje knjižnica</t>
  </si>
  <si>
    <t>9211</t>
  </si>
  <si>
    <t>MOZAIK 5</t>
  </si>
  <si>
    <t>T921101</t>
  </si>
  <si>
    <t>Provedba projekta MOZAIK 5</t>
  </si>
  <si>
    <t>PLAĆE ZA REDOVAN RAD3</t>
  </si>
  <si>
    <t>51100</t>
  </si>
  <si>
    <t xml:space="preserve">IZVJEŠTAJ O IZVRŠENJU FINANCIJSKOG PLANA OŠ VLADIMIRA NAZORA VRSAR ZA PRVO POLUGODIŠTE 2023. </t>
  </si>
  <si>
    <t>OŠ VLADIMIRA NAZORA VRSAR</t>
  </si>
  <si>
    <t>ZAKUPNINE I NAJAMNINE</t>
  </si>
  <si>
    <t>PLAĆE ZA PREKOVREMENI RAD</t>
  </si>
  <si>
    <t>PLAĆE ZA POSEBNE UVJETE</t>
  </si>
  <si>
    <t>DOPRINOS U SLUČAJU NEZAPOSLENOSTI</t>
  </si>
  <si>
    <t>TROŠKOVI SUDSKIH PRISTOJBI</t>
  </si>
  <si>
    <t>ZATEZNE KAMATE</t>
  </si>
  <si>
    <t>Funkcija</t>
  </si>
  <si>
    <t>A230118</t>
  </si>
  <si>
    <t>Logoped/Edukator -rehabilitator</t>
  </si>
  <si>
    <t>INTELEKTUALNE USLUGE</t>
  </si>
  <si>
    <t>NAKNADE TROŠKOVA OSOBAMA IZVAN RADNOG ODNOSA</t>
  </si>
  <si>
    <t>A230130</t>
  </si>
  <si>
    <t>Izborni i dodatni programi</t>
  </si>
  <si>
    <t>RASHODI ZA MATERIJAL I ENERGIJU</t>
  </si>
  <si>
    <t>A230131</t>
  </si>
  <si>
    <t>Čitamo mi</t>
  </si>
  <si>
    <t>KNJIGE, UMJ.DJELA I OST.IZLOŽB.VRIJEDNOSTI</t>
  </si>
  <si>
    <t>A230133</t>
  </si>
  <si>
    <t>Rad sa nadarenim učenicima</t>
  </si>
  <si>
    <t>A230134</t>
  </si>
  <si>
    <t>školski preventivni program</t>
  </si>
  <si>
    <t>RASHODI ZA MATERIJAL I ENER.</t>
  </si>
  <si>
    <t>A230171</t>
  </si>
  <si>
    <t>Školska sportska društva</t>
  </si>
  <si>
    <t>A230177</t>
  </si>
  <si>
    <t>Eko škola</t>
  </si>
  <si>
    <t>ČLANARINE</t>
  </si>
  <si>
    <t>A230178</t>
  </si>
  <si>
    <t>Folklor</t>
  </si>
  <si>
    <t>A230199</t>
  </si>
  <si>
    <t>Školska shema</t>
  </si>
  <si>
    <t>472,,76</t>
  </si>
  <si>
    <t>K240506</t>
  </si>
  <si>
    <t>Projektna dokumentacija za OŠ</t>
  </si>
  <si>
    <t>NEMATERIJALNA IMOVINA</t>
  </si>
  <si>
    <t>IZRADA PROJEKTNE DOKUMENTACIJE</t>
  </si>
  <si>
    <t>UKUPNO</t>
  </si>
  <si>
    <t>RASHODI ZA NABAVU NEPROIZV.IMOVINE</t>
  </si>
  <si>
    <t>10838 OŠ Vladimira Nazora, Vrsar</t>
  </si>
  <si>
    <t>Nematerijalna imovina</t>
  </si>
  <si>
    <t>Izrada projektne dokumentacije</t>
  </si>
  <si>
    <t>Plaće za prekovremeni</t>
  </si>
  <si>
    <t>Plaće za posebne uvjete rada</t>
  </si>
  <si>
    <t>Naknade troškova osobaama izvan radnog odnosa</t>
  </si>
  <si>
    <t>U Vrsaru, 31.08.2023.</t>
  </si>
  <si>
    <t>Predsjednika Školskog odbora:</t>
  </si>
  <si>
    <t>Nataša Radin Trifunović</t>
  </si>
  <si>
    <t>KLASA: 400-04/23-01/1</t>
  </si>
  <si>
    <t>URBROJ: 2167-1-23-1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</si>
</sst>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\ _k_n_-;\-* #,##0\ _k_n_-;_-* &quot;-&quot;??\ _k_n_-;_-@_-"/>
    <numFmt numFmtId="165" formatCode="[$-1041A]#,##0.00;\-\ #,##0.00"/>
    <numFmt numFmtId="166" formatCode="#,##0.00_ ;\-#,##0.00\ 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A7D00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12"/>
      <color rgb="FF3F3F3F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indexed="8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name val="Arial"/>
      <family val="2"/>
      <charset val="238"/>
    </font>
    <font>
      <sz val="13"/>
      <name val="Calibri"/>
      <family val="2"/>
      <charset val="238"/>
      <scheme val="minor"/>
    </font>
    <font>
      <i/>
      <sz val="13"/>
      <name val="Arial"/>
      <family val="2"/>
      <charset val="238"/>
    </font>
    <font>
      <b/>
      <i/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/>
        <bgColor indexed="8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43" fontId="17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1" fillId="10" borderId="11" applyNumberFormat="0" applyAlignment="0" applyProtection="0"/>
    <xf numFmtId="0" fontId="32" fillId="10" borderId="10" applyNumberFormat="0" applyAlignment="0" applyProtection="0"/>
    <xf numFmtId="0" fontId="33" fillId="11" borderId="12" applyNumberFormat="0" applyAlignment="0" applyProtection="0"/>
  </cellStyleXfs>
  <cellXfs count="232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13" fillId="0" borderId="0" xfId="0" applyFont="1"/>
    <xf numFmtId="0" fontId="0" fillId="0" borderId="3" xfId="0" applyBorder="1"/>
    <xf numFmtId="0" fontId="8" fillId="2" borderId="3" xfId="0" quotePrefix="1" applyFont="1" applyFill="1" applyBorder="1" applyAlignment="1">
      <alignment horizontal="left" vertical="center" wrapText="1"/>
    </xf>
    <xf numFmtId="0" fontId="14" fillId="2" borderId="3" xfId="0" quotePrefix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0" fillId="3" borderId="0" xfId="0" applyFill="1"/>
    <xf numFmtId="0" fontId="15" fillId="0" borderId="0" xfId="0" applyFont="1"/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9" fontId="8" fillId="2" borderId="3" xfId="0" quotePrefix="1" applyNumberFormat="1" applyFont="1" applyFill="1" applyBorder="1" applyAlignment="1">
      <alignment horizontal="left" vertical="center" shrinkToFit="1"/>
    </xf>
    <xf numFmtId="164" fontId="0" fillId="0" borderId="3" xfId="1" applyNumberFormat="1" applyFont="1" applyBorder="1"/>
    <xf numFmtId="1" fontId="0" fillId="0" borderId="3" xfId="0" applyNumberFormat="1" applyBorder="1"/>
    <xf numFmtId="164" fontId="0" fillId="0" borderId="3" xfId="0" applyNumberFormat="1" applyBorder="1"/>
    <xf numFmtId="0" fontId="18" fillId="4" borderId="3" xfId="2" applyFont="1" applyFill="1" applyBorder="1" applyAlignment="1">
      <alignment horizontal="center" wrapText="1"/>
    </xf>
    <xf numFmtId="0" fontId="18" fillId="5" borderId="3" xfId="3" applyFont="1" applyFill="1" applyBorder="1" applyAlignment="1">
      <alignment horizontal="center"/>
    </xf>
    <xf numFmtId="0" fontId="18" fillId="5" borderId="3" xfId="3" applyFont="1" applyFill="1" applyBorder="1" applyAlignment="1">
      <alignment horizontal="center" vertical="center"/>
    </xf>
    <xf numFmtId="49" fontId="18" fillId="5" borderId="3" xfId="3" applyNumberFormat="1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wrapText="1"/>
    </xf>
    <xf numFmtId="0" fontId="18" fillId="0" borderId="3" xfId="3" applyFont="1" applyFill="1" applyBorder="1" applyAlignment="1">
      <alignment horizontal="center"/>
    </xf>
    <xf numFmtId="0" fontId="18" fillId="0" borderId="3" xfId="3" applyFont="1" applyFill="1" applyBorder="1" applyAlignment="1">
      <alignment horizontal="center" vertical="center"/>
    </xf>
    <xf numFmtId="49" fontId="18" fillId="0" borderId="3" xfId="3" applyNumberFormat="1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/>
    </xf>
    <xf numFmtId="49" fontId="19" fillId="0" borderId="3" xfId="2" applyNumberFormat="1" applyFont="1" applyFill="1" applyBorder="1" applyAlignment="1">
      <alignment horizontal="center" vertical="center" wrapText="1"/>
    </xf>
    <xf numFmtId="0" fontId="18" fillId="0" borderId="3" xfId="3" quotePrefix="1" applyFont="1" applyFill="1" applyBorder="1" applyAlignment="1">
      <alignment horizontal="center" vertical="center"/>
    </xf>
    <xf numFmtId="49" fontId="18" fillId="0" borderId="3" xfId="2" applyNumberFormat="1" applyFont="1" applyFill="1" applyBorder="1" applyAlignment="1">
      <alignment horizontal="center" vertical="center" wrapText="1"/>
    </xf>
    <xf numFmtId="0" fontId="20" fillId="4" borderId="3" xfId="4" applyFont="1" applyFill="1" applyBorder="1" applyAlignment="1">
      <alignment horizontal="center" wrapText="1"/>
    </xf>
    <xf numFmtId="0" fontId="18" fillId="5" borderId="3" xfId="0" applyFont="1" applyFill="1" applyBorder="1" applyAlignment="1">
      <alignment horizontal="center"/>
    </xf>
    <xf numFmtId="0" fontId="20" fillId="0" borderId="3" xfId="4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0" fillId="0" borderId="3" xfId="5" applyFont="1" applyFill="1" applyBorder="1" applyAlignment="1">
      <alignment horizontal="center" wrapText="1"/>
    </xf>
    <xf numFmtId="0" fontId="18" fillId="7" borderId="1" xfId="2" applyFont="1" applyFill="1" applyBorder="1" applyAlignment="1">
      <alignment horizontal="left" vertical="center" wrapText="1"/>
    </xf>
    <xf numFmtId="0" fontId="21" fillId="3" borderId="6" xfId="0" applyNumberFormat="1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8" fillId="6" borderId="1" xfId="2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left" wrapText="1"/>
    </xf>
    <xf numFmtId="0" fontId="20" fillId="0" borderId="1" xfId="4" applyFont="1" applyFill="1" applyBorder="1" applyAlignment="1">
      <alignment horizontal="left" wrapText="1"/>
    </xf>
    <xf numFmtId="0" fontId="20" fillId="0" borderId="1" xfId="6" applyFont="1" applyFill="1" applyBorder="1" applyAlignment="1">
      <alignment horizontal="left" wrapText="1"/>
    </xf>
    <xf numFmtId="164" fontId="15" fillId="0" borderId="3" xfId="0" applyNumberFormat="1" applyFont="1" applyBorder="1"/>
    <xf numFmtId="164" fontId="15" fillId="0" borderId="3" xfId="1" applyNumberFormat="1" applyFont="1" applyBorder="1"/>
    <xf numFmtId="164" fontId="11" fillId="0" borderId="3" xfId="1" applyNumberFormat="1" applyFont="1" applyBorder="1"/>
    <xf numFmtId="0" fontId="22" fillId="0" borderId="7" xfId="4" applyFont="1" applyFill="1" applyBorder="1" applyAlignment="1">
      <alignment horizontal="left" wrapText="1"/>
    </xf>
    <xf numFmtId="164" fontId="23" fillId="0" borderId="3" xfId="0" applyNumberFormat="1" applyFont="1" applyBorder="1"/>
    <xf numFmtId="1" fontId="11" fillId="0" borderId="3" xfId="0" applyNumberFormat="1" applyFont="1" applyBorder="1"/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25" fillId="2" borderId="0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Border="1" applyAlignment="1" applyProtection="1">
      <alignment vertical="top" wrapText="1"/>
      <protection locked="0"/>
    </xf>
    <xf numFmtId="2" fontId="29" fillId="2" borderId="0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Border="1" applyAlignment="1" applyProtection="1">
      <alignment vertical="top" wrapText="1"/>
      <protection locked="0"/>
    </xf>
    <xf numFmtId="0" fontId="26" fillId="2" borderId="0" xfId="0" applyFont="1" applyFill="1" applyBorder="1" applyAlignment="1" applyProtection="1">
      <alignment vertical="top" wrapText="1"/>
      <protection locked="0"/>
    </xf>
    <xf numFmtId="0" fontId="27" fillId="2" borderId="0" xfId="0" applyFont="1" applyFill="1" applyBorder="1" applyAlignment="1" applyProtection="1">
      <alignment vertical="top" wrapText="1"/>
      <protection locked="0"/>
    </xf>
    <xf numFmtId="0" fontId="11" fillId="0" borderId="0" xfId="0" applyFont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34" fillId="8" borderId="8" xfId="0" applyFont="1" applyFill="1" applyBorder="1" applyAlignment="1" applyProtection="1">
      <alignment horizontal="center" vertical="center" wrapText="1" readingOrder="1"/>
      <protection locked="0"/>
    </xf>
    <xf numFmtId="0" fontId="7" fillId="9" borderId="3" xfId="0" applyFont="1" applyFill="1" applyBorder="1" applyAlignment="1" applyProtection="1">
      <alignment horizontal="center" vertical="center" wrapText="1" readingOrder="1"/>
      <protection locked="0"/>
    </xf>
    <xf numFmtId="0" fontId="7" fillId="9" borderId="3" xfId="0" applyFont="1" applyFill="1" applyBorder="1" applyAlignment="1" applyProtection="1">
      <alignment horizontal="left" vertical="top" wrapText="1" readingOrder="1"/>
      <protection locked="0"/>
    </xf>
    <xf numFmtId="0" fontId="7" fillId="9" borderId="3" xfId="0" applyFont="1" applyFill="1" applyBorder="1" applyAlignment="1" applyProtection="1">
      <alignment horizontal="right" vertical="top" wrapText="1" readingOrder="1"/>
      <protection locked="0"/>
    </xf>
    <xf numFmtId="165" fontId="34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5" fillId="10" borderId="10" xfId="8" applyFont="1" applyAlignment="1" applyProtection="1">
      <alignment horizontal="left" vertical="top" wrapText="1" readingOrder="1"/>
      <protection locked="0"/>
    </xf>
    <xf numFmtId="0" fontId="35" fillId="10" borderId="10" xfId="8" applyFont="1" applyAlignment="1" applyProtection="1">
      <alignment horizontal="right" vertical="top" wrapText="1" readingOrder="1"/>
      <protection locked="0"/>
    </xf>
    <xf numFmtId="165" fontId="35" fillId="10" borderId="10" xfId="8" applyNumberFormat="1" applyFont="1" applyAlignment="1" applyProtection="1">
      <alignment horizontal="right" vertical="top" wrapText="1" readingOrder="1"/>
      <protection locked="0"/>
    </xf>
    <xf numFmtId="0" fontId="7" fillId="9" borderId="3" xfId="0" applyFont="1" applyFill="1" applyBorder="1" applyAlignment="1" applyProtection="1">
      <alignment horizontal="left" vertical="center" wrapText="1" readingOrder="1"/>
      <protection locked="0"/>
    </xf>
    <xf numFmtId="0" fontId="7" fillId="9" borderId="3" xfId="0" applyFont="1" applyFill="1" applyBorder="1" applyAlignment="1" applyProtection="1">
      <alignment horizontal="right" vertical="center" wrapText="1" readingOrder="1"/>
      <protection locked="0"/>
    </xf>
    <xf numFmtId="0" fontId="36" fillId="9" borderId="3" xfId="0" applyFont="1" applyFill="1" applyBorder="1" applyAlignment="1" applyProtection="1">
      <alignment horizontal="left" vertical="top" wrapText="1" readingOrder="1"/>
      <protection locked="0"/>
    </xf>
    <xf numFmtId="0" fontId="36" fillId="9" borderId="3" xfId="0" applyFont="1" applyFill="1" applyBorder="1" applyAlignment="1" applyProtection="1">
      <alignment horizontal="right" vertical="top" wrapText="1" readingOrder="1"/>
      <protection locked="0"/>
    </xf>
    <xf numFmtId="0" fontId="37" fillId="10" borderId="11" xfId="7" applyFont="1" applyAlignment="1" applyProtection="1">
      <alignment horizontal="left" vertical="top" wrapText="1" readingOrder="1"/>
      <protection locked="0"/>
    </xf>
    <xf numFmtId="0" fontId="37" fillId="10" borderId="11" xfId="7" applyFont="1" applyAlignment="1" applyProtection="1">
      <alignment horizontal="right" vertical="top" wrapText="1" readingOrder="1"/>
      <protection locked="0"/>
    </xf>
    <xf numFmtId="165" fontId="37" fillId="10" borderId="11" xfId="7" applyNumberFormat="1" applyFont="1" applyAlignment="1" applyProtection="1">
      <alignment horizontal="right" vertical="top" wrapText="1" readingOrder="1"/>
      <protection locked="0"/>
    </xf>
    <xf numFmtId="0" fontId="6" fillId="9" borderId="3" xfId="0" applyFont="1" applyFill="1" applyBorder="1" applyAlignment="1" applyProtection="1">
      <alignment horizontal="left" vertical="top" wrapText="1" readingOrder="1"/>
      <protection locked="0"/>
    </xf>
    <xf numFmtId="0" fontId="6" fillId="9" borderId="3" xfId="0" applyFont="1" applyFill="1" applyBorder="1" applyAlignment="1" applyProtection="1">
      <alignment horizontal="right" vertical="top" wrapText="1" readingOrder="1"/>
      <protection locked="0"/>
    </xf>
    <xf numFmtId="165" fontId="6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165" fontId="38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9" fillId="2" borderId="3" xfId="0" applyFont="1" applyFill="1" applyBorder="1" applyAlignment="1" applyProtection="1">
      <alignment vertical="top" wrapText="1"/>
      <protection locked="0"/>
    </xf>
    <xf numFmtId="0" fontId="23" fillId="2" borderId="3" xfId="0" applyFont="1" applyFill="1" applyBorder="1" applyAlignment="1" applyProtection="1">
      <alignment vertical="top" wrapText="1"/>
      <protection locked="0"/>
    </xf>
    <xf numFmtId="0" fontId="40" fillId="2" borderId="3" xfId="0" applyFont="1" applyFill="1" applyBorder="1" applyAlignment="1" applyProtection="1">
      <alignment vertical="top" wrapText="1"/>
      <protection locked="0"/>
    </xf>
    <xf numFmtId="2" fontId="23" fillId="2" borderId="3" xfId="0" applyNumberFormat="1" applyFont="1" applyFill="1" applyBorder="1" applyAlignment="1" applyProtection="1">
      <alignment vertical="top" wrapText="1"/>
      <protection locked="0"/>
    </xf>
    <xf numFmtId="0" fontId="37" fillId="10" borderId="11" xfId="7" applyFont="1" applyAlignment="1" applyProtection="1">
      <alignment vertical="top" wrapText="1"/>
      <protection locked="0"/>
    </xf>
    <xf numFmtId="2" fontId="37" fillId="10" borderId="11" xfId="7" applyNumberFormat="1" applyFont="1" applyAlignment="1" applyProtection="1">
      <alignment vertical="top" wrapText="1"/>
      <protection locked="0"/>
    </xf>
    <xf numFmtId="2" fontId="40" fillId="2" borderId="3" xfId="0" applyNumberFormat="1" applyFont="1" applyFill="1" applyBorder="1" applyAlignment="1" applyProtection="1">
      <alignment vertical="top" wrapText="1"/>
      <protection locked="0"/>
    </xf>
    <xf numFmtId="0" fontId="41" fillId="11" borderId="12" xfId="9" applyFont="1" applyAlignment="1" applyProtection="1">
      <alignment horizontal="left" vertical="top" wrapText="1" readingOrder="1"/>
      <protection locked="0"/>
    </xf>
    <xf numFmtId="0" fontId="41" fillId="11" borderId="12" xfId="9" applyFont="1" applyAlignment="1" applyProtection="1">
      <alignment horizontal="right" vertical="top" wrapText="1" readingOrder="1"/>
      <protection locked="0"/>
    </xf>
    <xf numFmtId="165" fontId="41" fillId="11" borderId="12" xfId="9" applyNumberFormat="1" applyFont="1" applyAlignment="1" applyProtection="1">
      <alignment horizontal="right" vertical="top" wrapText="1" readingOrder="1"/>
      <protection locked="0"/>
    </xf>
    <xf numFmtId="166" fontId="41" fillId="11" borderId="12" xfId="9" applyNumberFormat="1" applyFont="1" applyAlignment="1" applyProtection="1">
      <alignment horizontal="right" vertical="top" wrapText="1" readingOrder="1"/>
      <protection locked="0"/>
    </xf>
    <xf numFmtId="165" fontId="11" fillId="0" borderId="0" xfId="0" applyNumberFormat="1" applyFont="1"/>
    <xf numFmtId="166" fontId="11" fillId="0" borderId="0" xfId="0" applyNumberFormat="1" applyFont="1"/>
    <xf numFmtId="0" fontId="42" fillId="9" borderId="3" xfId="0" applyFont="1" applyFill="1" applyBorder="1" applyAlignment="1" applyProtection="1">
      <alignment horizontal="left" vertical="top" wrapText="1" readingOrder="1"/>
      <protection locked="0"/>
    </xf>
    <xf numFmtId="0" fontId="24" fillId="9" borderId="3" xfId="0" applyFont="1" applyFill="1" applyBorder="1" applyAlignment="1" applyProtection="1">
      <alignment horizontal="left" vertical="top" wrapText="1" readingOrder="1"/>
      <protection locked="0"/>
    </xf>
    <xf numFmtId="0" fontId="43" fillId="9" borderId="3" xfId="0" applyFont="1" applyFill="1" applyBorder="1" applyAlignment="1" applyProtection="1">
      <alignment horizontal="left" vertical="top" wrapText="1" readingOrder="1"/>
      <protection locked="0"/>
    </xf>
    <xf numFmtId="0" fontId="9" fillId="9" borderId="3" xfId="0" applyFont="1" applyFill="1" applyBorder="1" applyAlignment="1" applyProtection="1">
      <alignment horizontal="left" vertical="top" wrapText="1" readingOrder="1"/>
      <protection locked="0"/>
    </xf>
    <xf numFmtId="3" fontId="8" fillId="2" borderId="3" xfId="0" applyNumberFormat="1" applyFont="1" applyFill="1" applyBorder="1" applyAlignment="1">
      <alignment horizontal="right"/>
    </xf>
    <xf numFmtId="3" fontId="44" fillId="2" borderId="3" xfId="0" applyNumberFormat="1" applyFont="1" applyFill="1" applyBorder="1" applyAlignment="1">
      <alignment horizontal="right"/>
    </xf>
    <xf numFmtId="164" fontId="25" fillId="0" borderId="3" xfId="1" applyNumberFormat="1" applyFont="1" applyBorder="1"/>
    <xf numFmtId="3" fontId="7" fillId="2" borderId="3" xfId="0" applyNumberFormat="1" applyFont="1" applyFill="1" applyBorder="1" applyAlignment="1">
      <alignment horizontal="right"/>
    </xf>
    <xf numFmtId="1" fontId="23" fillId="0" borderId="3" xfId="0" applyNumberFormat="1" applyFont="1" applyBorder="1"/>
    <xf numFmtId="164" fontId="45" fillId="0" borderId="3" xfId="3" applyNumberFormat="1" applyFont="1" applyBorder="1"/>
    <xf numFmtId="164" fontId="46" fillId="0" borderId="3" xfId="3" applyNumberFormat="1" applyFont="1" applyBorder="1"/>
    <xf numFmtId="164" fontId="47" fillId="0" borderId="3" xfId="1" applyNumberFormat="1" applyFont="1" applyBorder="1"/>
    <xf numFmtId="164" fontId="47" fillId="0" borderId="3" xfId="3" applyNumberFormat="1" applyFont="1" applyBorder="1"/>
    <xf numFmtId="164" fontId="48" fillId="0" borderId="3" xfId="3" applyNumberFormat="1" applyFont="1" applyBorder="1"/>
    <xf numFmtId="164" fontId="47" fillId="0" borderId="3" xfId="3" applyNumberFormat="1" applyFont="1" applyFill="1" applyBorder="1"/>
    <xf numFmtId="164" fontId="48" fillId="0" borderId="3" xfId="3" applyNumberFormat="1" applyFont="1" applyFill="1" applyBorder="1"/>
    <xf numFmtId="164" fontId="25" fillId="0" borderId="3" xfId="0" applyNumberFormat="1" applyFont="1" applyBorder="1"/>
    <xf numFmtId="164" fontId="46" fillId="0" borderId="3" xfId="0" applyNumberFormat="1" applyFont="1" applyBorder="1"/>
    <xf numFmtId="164" fontId="47" fillId="0" borderId="3" xfId="0" applyNumberFormat="1" applyFont="1" applyBorder="1"/>
    <xf numFmtId="0" fontId="49" fillId="0" borderId="3" xfId="0" applyFont="1" applyBorder="1"/>
    <xf numFmtId="1" fontId="15" fillId="0" borderId="3" xfId="0" applyNumberFormat="1" applyFont="1" applyBorder="1"/>
    <xf numFmtId="164" fontId="50" fillId="0" borderId="3" xfId="3" applyNumberFormat="1" applyFont="1" applyBorder="1"/>
    <xf numFmtId="164" fontId="18" fillId="0" borderId="3" xfId="3" applyNumberFormat="1" applyFont="1" applyBorder="1"/>
    <xf numFmtId="164" fontId="51" fillId="2" borderId="3" xfId="1" applyNumberFormat="1" applyFont="1" applyFill="1" applyBorder="1"/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5" fillId="0" borderId="0" xfId="0" applyNumberFormat="1" applyFont="1" applyFill="1" applyBorder="1" applyAlignment="1" applyProtection="1">
      <alignment vertical="center" wrapText="1"/>
    </xf>
    <xf numFmtId="0" fontId="54" fillId="0" borderId="0" xfId="0" applyFont="1" applyAlignment="1">
      <alignment wrapText="1"/>
    </xf>
    <xf numFmtId="0" fontId="56" fillId="0" borderId="5" xfId="0" applyFont="1" applyBorder="1" applyAlignment="1">
      <alignment horizontal="center" vertical="center"/>
    </xf>
    <xf numFmtId="0" fontId="56" fillId="0" borderId="5" xfId="0" applyFont="1" applyBorder="1" applyAlignment="1">
      <alignment horizontal="right" vertical="center"/>
    </xf>
    <xf numFmtId="0" fontId="53" fillId="0" borderId="3" xfId="0" quotePrefix="1" applyNumberFormat="1" applyFont="1" applyFill="1" applyBorder="1" applyAlignment="1" applyProtection="1">
      <alignment horizontal="center" vertical="center" wrapText="1"/>
    </xf>
    <xf numFmtId="0" fontId="53" fillId="2" borderId="3" xfId="0" applyNumberFormat="1" applyFont="1" applyFill="1" applyBorder="1" applyAlignment="1" applyProtection="1">
      <alignment horizontal="center" vertical="center" wrapText="1"/>
    </xf>
    <xf numFmtId="3" fontId="52" fillId="3" borderId="3" xfId="0" applyNumberFormat="1" applyFont="1" applyFill="1" applyBorder="1" applyAlignment="1">
      <alignment horizontal="right"/>
    </xf>
    <xf numFmtId="3" fontId="52" fillId="0" borderId="3" xfId="0" applyNumberFormat="1" applyFont="1" applyFill="1" applyBorder="1" applyAlignment="1">
      <alignment horizontal="right"/>
    </xf>
    <xf numFmtId="0" fontId="52" fillId="3" borderId="1" xfId="0" applyFont="1" applyFill="1" applyBorder="1" applyAlignment="1">
      <alignment horizontal="left" vertical="center"/>
    </xf>
    <xf numFmtId="0" fontId="57" fillId="3" borderId="2" xfId="0" applyNumberFormat="1" applyFont="1" applyFill="1" applyBorder="1" applyAlignment="1" applyProtection="1">
      <alignment vertical="center"/>
    </xf>
    <xf numFmtId="3" fontId="52" fillId="0" borderId="3" xfId="0" applyNumberFormat="1" applyFont="1" applyBorder="1" applyAlignment="1">
      <alignment horizontal="right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/>
    <xf numFmtId="3" fontId="53" fillId="0" borderId="3" xfId="0" applyNumberFormat="1" applyFont="1" applyBorder="1" applyAlignment="1">
      <alignment horizontal="right"/>
    </xf>
    <xf numFmtId="3" fontId="53" fillId="3" borderId="3" xfId="0" applyNumberFormat="1" applyFont="1" applyFill="1" applyBorder="1" applyAlignment="1">
      <alignment horizontal="right"/>
    </xf>
    <xf numFmtId="0" fontId="52" fillId="0" borderId="0" xfId="0" quotePrefix="1" applyNumberFormat="1" applyFont="1" applyFill="1" applyBorder="1" applyAlignment="1" applyProtection="1">
      <alignment horizontal="left" wrapText="1"/>
    </xf>
    <xf numFmtId="0" fontId="57" fillId="0" borderId="0" xfId="0" applyNumberFormat="1" applyFont="1" applyFill="1" applyBorder="1" applyAlignment="1" applyProtection="1">
      <alignment wrapText="1"/>
    </xf>
    <xf numFmtId="3" fontId="53" fillId="0" borderId="0" xfId="0" applyNumberFormat="1" applyFont="1" applyBorder="1" applyAlignment="1">
      <alignment horizontal="right"/>
    </xf>
    <xf numFmtId="0" fontId="58" fillId="2" borderId="0" xfId="0" applyFont="1" applyFill="1"/>
    <xf numFmtId="0" fontId="54" fillId="2" borderId="0" xfId="0" applyFont="1" applyFill="1"/>
    <xf numFmtId="0" fontId="53" fillId="3" borderId="4" xfId="0" applyNumberFormat="1" applyFont="1" applyFill="1" applyBorder="1" applyAlignment="1" applyProtection="1">
      <alignment horizontal="center" vertical="center" wrapText="1"/>
    </xf>
    <xf numFmtId="0" fontId="53" fillId="3" borderId="1" xfId="0" applyNumberFormat="1" applyFont="1" applyFill="1" applyBorder="1" applyAlignment="1" applyProtection="1">
      <alignment horizontal="center" vertical="center" wrapText="1"/>
    </xf>
    <xf numFmtId="0" fontId="53" fillId="3" borderId="2" xfId="0" applyNumberFormat="1" applyFont="1" applyFill="1" applyBorder="1" applyAlignment="1" applyProtection="1">
      <alignment horizontal="center" vertical="center" wrapText="1"/>
    </xf>
    <xf numFmtId="0" fontId="57" fillId="2" borderId="3" xfId="0" applyNumberFormat="1" applyFont="1" applyFill="1" applyBorder="1" applyAlignment="1" applyProtection="1">
      <alignment horizontal="left" vertical="center" wrapText="1"/>
    </xf>
    <xf numFmtId="3" fontId="57" fillId="2" borderId="3" xfId="0" applyNumberFormat="1" applyFont="1" applyFill="1" applyBorder="1" applyAlignment="1">
      <alignment horizontal="right"/>
    </xf>
    <xf numFmtId="3" fontId="55" fillId="2" borderId="3" xfId="0" applyNumberFormat="1" applyFont="1" applyFill="1" applyBorder="1" applyAlignment="1">
      <alignment horizontal="right"/>
    </xf>
    <xf numFmtId="164" fontId="54" fillId="0" borderId="3" xfId="0" applyNumberFormat="1" applyFont="1" applyBorder="1"/>
    <xf numFmtId="1" fontId="58" fillId="0" borderId="3" xfId="0" applyNumberFormat="1" applyFont="1" applyBorder="1"/>
    <xf numFmtId="0" fontId="52" fillId="2" borderId="3" xfId="0" applyNumberFormat="1" applyFont="1" applyFill="1" applyBorder="1" applyAlignment="1" applyProtection="1">
      <alignment horizontal="left" vertical="center" wrapText="1"/>
    </xf>
    <xf numFmtId="164" fontId="54" fillId="0" borderId="3" xfId="1" applyNumberFormat="1" applyFont="1" applyBorder="1"/>
    <xf numFmtId="0" fontId="57" fillId="2" borderId="3" xfId="0" quotePrefix="1" applyFont="1" applyFill="1" applyBorder="1" applyAlignment="1">
      <alignment horizontal="left" vertical="center"/>
    </xf>
    <xf numFmtId="49" fontId="57" fillId="2" borderId="3" xfId="0" quotePrefix="1" applyNumberFormat="1" applyFont="1" applyFill="1" applyBorder="1" applyAlignment="1">
      <alignment horizontal="left" vertical="center" shrinkToFit="1"/>
    </xf>
    <xf numFmtId="0" fontId="59" fillId="2" borderId="3" xfId="0" quotePrefix="1" applyFont="1" applyFill="1" applyBorder="1" applyAlignment="1">
      <alignment horizontal="left" vertical="center"/>
    </xf>
    <xf numFmtId="0" fontId="54" fillId="0" borderId="3" xfId="0" applyFont="1" applyBorder="1"/>
    <xf numFmtId="0" fontId="52" fillId="2" borderId="3" xfId="0" quotePrefix="1" applyFont="1" applyFill="1" applyBorder="1" applyAlignment="1">
      <alignment horizontal="left" vertical="center"/>
    </xf>
    <xf numFmtId="1" fontId="54" fillId="0" borderId="3" xfId="0" applyNumberFormat="1" applyFont="1" applyBorder="1"/>
    <xf numFmtId="0" fontId="60" fillId="2" borderId="3" xfId="0" quotePrefix="1" applyFont="1" applyFill="1" applyBorder="1" applyAlignment="1">
      <alignment horizontal="left" vertical="center"/>
    </xf>
    <xf numFmtId="3" fontId="53" fillId="2" borderId="3" xfId="0" applyNumberFormat="1" applyFont="1" applyFill="1" applyBorder="1" applyAlignment="1">
      <alignment horizontal="right"/>
    </xf>
    <xf numFmtId="0" fontId="56" fillId="0" borderId="3" xfId="0" applyFont="1" applyBorder="1"/>
    <xf numFmtId="0" fontId="57" fillId="2" borderId="3" xfId="0" quotePrefix="1" applyFont="1" applyFill="1" applyBorder="1" applyAlignment="1">
      <alignment horizontal="left" vertical="center" wrapText="1"/>
    </xf>
    <xf numFmtId="0" fontId="53" fillId="3" borderId="1" xfId="0" applyNumberFormat="1" applyFont="1" applyFill="1" applyBorder="1" applyAlignment="1" applyProtection="1">
      <alignment horizontal="left" vertical="center" wrapText="1"/>
    </xf>
    <xf numFmtId="0" fontId="53" fillId="3" borderId="2" xfId="0" applyNumberFormat="1" applyFont="1" applyFill="1" applyBorder="1" applyAlignment="1" applyProtection="1">
      <alignment horizontal="left" vertical="center" wrapText="1"/>
    </xf>
    <xf numFmtId="0" fontId="53" fillId="3" borderId="4" xfId="0" applyNumberFormat="1" applyFont="1" applyFill="1" applyBorder="1" applyAlignment="1" applyProtection="1">
      <alignment horizontal="left" vertical="center" wrapText="1"/>
    </xf>
    <xf numFmtId="0" fontId="52" fillId="3" borderId="1" xfId="0" quotePrefix="1" applyNumberFormat="1" applyFont="1" applyFill="1" applyBorder="1" applyAlignment="1" applyProtection="1">
      <alignment horizontal="left" vertical="center" wrapText="1"/>
    </xf>
    <xf numFmtId="0" fontId="57" fillId="3" borderId="2" xfId="0" applyNumberFormat="1" applyFont="1" applyFill="1" applyBorder="1" applyAlignment="1" applyProtection="1">
      <alignment vertical="center" wrapText="1"/>
    </xf>
    <xf numFmtId="0" fontId="52" fillId="0" borderId="1" xfId="0" applyNumberFormat="1" applyFont="1" applyFill="1" applyBorder="1" applyAlignment="1" applyProtection="1">
      <alignment horizontal="left" vertical="center" wrapText="1"/>
    </xf>
    <xf numFmtId="0" fontId="57" fillId="0" borderId="2" xfId="0" applyNumberFormat="1" applyFont="1" applyFill="1" applyBorder="1" applyAlignment="1" applyProtection="1">
      <alignment vertical="center" wrapText="1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4" xfId="0" applyNumberFormat="1" applyFont="1" applyFill="1" applyBorder="1" applyAlignment="1" applyProtection="1">
      <alignment horizontal="left" vertical="center" wrapText="1"/>
    </xf>
    <xf numFmtId="0" fontId="52" fillId="0" borderId="1" xfId="0" quotePrefix="1" applyNumberFormat="1" applyFont="1" applyFill="1" applyBorder="1" applyAlignment="1" applyProtection="1">
      <alignment horizontal="left" vertical="center" wrapText="1"/>
    </xf>
    <xf numFmtId="0" fontId="53" fillId="0" borderId="3" xfId="0" quotePrefix="1" applyFont="1" applyBorder="1" applyAlignment="1">
      <alignment horizontal="center" wrapText="1"/>
    </xf>
    <xf numFmtId="0" fontId="53" fillId="0" borderId="1" xfId="0" quotePrefix="1" applyFont="1" applyBorder="1" applyAlignment="1">
      <alignment horizontal="center" wrapText="1"/>
    </xf>
    <xf numFmtId="0" fontId="53" fillId="0" borderId="5" xfId="0" applyNumberFormat="1" applyFont="1" applyFill="1" applyBorder="1" applyAlignment="1" applyProtection="1">
      <alignment horizontal="left" wrapText="1"/>
    </xf>
    <xf numFmtId="0" fontId="53" fillId="0" borderId="2" xfId="0" quotePrefix="1" applyFont="1" applyBorder="1" applyAlignment="1">
      <alignment horizontal="center" wrapText="1"/>
    </xf>
    <xf numFmtId="0" fontId="53" fillId="0" borderId="4" xfId="0" quotePrefix="1" applyFont="1" applyBorder="1" applyAlignment="1">
      <alignment horizontal="center" wrapText="1"/>
    </xf>
    <xf numFmtId="0" fontId="52" fillId="3" borderId="1" xfId="0" applyNumberFormat="1" applyFont="1" applyFill="1" applyBorder="1" applyAlignment="1" applyProtection="1">
      <alignment horizontal="left" vertical="center" wrapText="1"/>
    </xf>
    <xf numFmtId="0" fontId="57" fillId="3" borderId="2" xfId="0" applyNumberFormat="1" applyFont="1" applyFill="1" applyBorder="1" applyAlignment="1" applyProtection="1">
      <alignment vertical="center"/>
    </xf>
    <xf numFmtId="0" fontId="53" fillId="0" borderId="0" xfId="0" applyNumberFormat="1" applyFont="1" applyFill="1" applyBorder="1" applyAlignment="1" applyProtection="1">
      <alignment horizontal="left" vertical="center" wrapText="1"/>
    </xf>
    <xf numFmtId="0" fontId="57" fillId="0" borderId="2" xfId="0" applyNumberFormat="1" applyFont="1" applyFill="1" applyBorder="1" applyAlignment="1" applyProtection="1">
      <alignment vertical="center"/>
    </xf>
    <xf numFmtId="0" fontId="52" fillId="0" borderId="1" xfId="0" quotePrefix="1" applyFont="1" applyBorder="1" applyAlignment="1">
      <alignment horizontal="left" vertical="center"/>
    </xf>
    <xf numFmtId="0" fontId="52" fillId="0" borderId="1" xfId="0" quotePrefix="1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3" fillId="3" borderId="1" xfId="0" applyNumberFormat="1" applyFont="1" applyFill="1" applyBorder="1" applyAlignment="1" applyProtection="1">
      <alignment horizontal="center" vertical="center" wrapText="1"/>
    </xf>
    <xf numFmtId="0" fontId="53" fillId="3" borderId="2" xfId="0" applyNumberFormat="1" applyFont="1" applyFill="1" applyBorder="1" applyAlignment="1" applyProtection="1">
      <alignment horizontal="center" vertical="center" wrapText="1"/>
    </xf>
    <xf numFmtId="0" fontId="53" fillId="3" borderId="4" xfId="0" applyNumberFormat="1" applyFont="1" applyFill="1" applyBorder="1" applyAlignment="1" applyProtection="1">
      <alignment horizontal="center" vertical="center" wrapText="1"/>
    </xf>
    <xf numFmtId="165" fontId="7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2" borderId="3" xfId="0" applyFont="1" applyFill="1" applyBorder="1" applyAlignment="1" applyProtection="1">
      <alignment vertical="top" wrapText="1"/>
      <protection locked="0"/>
    </xf>
    <xf numFmtId="0" fontId="41" fillId="11" borderId="12" xfId="9" applyFont="1" applyAlignment="1" applyProtection="1">
      <alignment horizontal="left" vertical="top" wrapText="1" readingOrder="1"/>
      <protection locked="0"/>
    </xf>
    <xf numFmtId="0" fontId="41" fillId="11" borderId="12" xfId="9" applyFont="1" applyAlignment="1" applyProtection="1">
      <alignment vertical="top" wrapText="1"/>
      <protection locked="0"/>
    </xf>
    <xf numFmtId="165" fontId="41" fillId="11" borderId="12" xfId="9" applyNumberFormat="1" applyFont="1" applyAlignment="1" applyProtection="1">
      <alignment horizontal="right" vertical="top" wrapText="1" readingOrder="1"/>
      <protection locked="0"/>
    </xf>
    <xf numFmtId="0" fontId="36" fillId="9" borderId="3" xfId="0" applyFont="1" applyFill="1" applyBorder="1" applyAlignment="1" applyProtection="1">
      <alignment horizontal="left" vertical="top" wrapText="1" readingOrder="1"/>
      <protection locked="0"/>
    </xf>
    <xf numFmtId="0" fontId="23" fillId="2" borderId="3" xfId="0" applyFont="1" applyFill="1" applyBorder="1"/>
    <xf numFmtId="0" fontId="37" fillId="10" borderId="11" xfId="7" applyFont="1" applyAlignment="1" applyProtection="1">
      <alignment horizontal="left" vertical="top" wrapText="1" readingOrder="1"/>
      <protection locked="0"/>
    </xf>
    <xf numFmtId="0" fontId="37" fillId="10" borderId="11" xfId="7" applyFont="1"/>
    <xf numFmtId="165" fontId="37" fillId="10" borderId="11" xfId="7" applyNumberFormat="1" applyFont="1" applyAlignment="1" applyProtection="1">
      <alignment horizontal="right" vertical="top" wrapText="1" readingOrder="1"/>
      <protection locked="0"/>
    </xf>
    <xf numFmtId="0" fontId="37" fillId="10" borderId="11" xfId="7" applyFont="1" applyAlignment="1" applyProtection="1">
      <alignment vertical="top" wrapText="1"/>
      <protection locked="0"/>
    </xf>
    <xf numFmtId="0" fontId="35" fillId="10" borderId="10" xfId="8" applyFont="1" applyAlignment="1" applyProtection="1">
      <alignment horizontal="left" vertical="top" wrapText="1" readingOrder="1"/>
      <protection locked="0"/>
    </xf>
    <xf numFmtId="0" fontId="35" fillId="10" borderId="10" xfId="8" applyFont="1" applyAlignment="1" applyProtection="1">
      <alignment vertical="top" wrapText="1"/>
      <protection locked="0"/>
    </xf>
    <xf numFmtId="165" fontId="35" fillId="10" borderId="10" xfId="8" applyNumberFormat="1" applyFont="1" applyAlignment="1" applyProtection="1">
      <alignment horizontal="right" vertical="top" wrapText="1" readingOrder="1"/>
      <protection locked="0"/>
    </xf>
    <xf numFmtId="0" fontId="7" fillId="9" borderId="3" xfId="0" applyFont="1" applyFill="1" applyBorder="1" applyAlignment="1" applyProtection="1">
      <alignment horizontal="left" vertical="center" wrapText="1" readingOrder="1"/>
      <protection locked="0"/>
    </xf>
    <xf numFmtId="165" fontId="38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39" fillId="2" borderId="3" xfId="0" applyFont="1" applyFill="1" applyBorder="1" applyAlignment="1" applyProtection="1">
      <alignment vertical="top" wrapText="1"/>
      <protection locked="0"/>
    </xf>
    <xf numFmtId="0" fontId="7" fillId="9" borderId="3" xfId="0" applyFont="1" applyFill="1" applyBorder="1" applyAlignment="1" applyProtection="1">
      <alignment horizontal="left" vertical="top" wrapText="1" readingOrder="1"/>
      <protection locked="0"/>
    </xf>
    <xf numFmtId="165" fontId="34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2" borderId="3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34" fillId="8" borderId="8" xfId="0" applyFont="1" applyFill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vertical="top" wrapText="1"/>
      <protection locked="0"/>
    </xf>
    <xf numFmtId="0" fontId="7" fillId="9" borderId="3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Izlaz" xfId="7" builtinId="21"/>
    <cellStyle name="Izračun" xfId="8" builtinId="22"/>
    <cellStyle name="Normalno" xfId="0" builtinId="0"/>
    <cellStyle name="Normalno 2" xfId="3"/>
    <cellStyle name="Obično_List1" xfId="6"/>
    <cellStyle name="Obično_List4" xfId="2"/>
    <cellStyle name="Obično_List5" xfId="4"/>
    <cellStyle name="Obično_List8" xfId="5"/>
    <cellStyle name="Provjera ćelije" xfId="9" builtinId="2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workbookViewId="0">
      <selection activeCell="K16" sqref="K16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s="17" customFormat="1" ht="42" customHeight="1" x14ac:dyDescent="0.25">
      <c r="B1" s="192" t="s">
        <v>299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 ht="18" customHeight="1" x14ac:dyDescent="0.3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8" customHeight="1" x14ac:dyDescent="0.3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0"/>
    </row>
    <row r="4" spans="2:12" ht="15.75" customHeight="1" x14ac:dyDescent="0.25">
      <c r="B4" s="193" t="s">
        <v>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2:12" ht="36" customHeight="1" x14ac:dyDescent="0.3">
      <c r="B5" s="188"/>
      <c r="C5" s="188"/>
      <c r="D5" s="188"/>
      <c r="E5" s="129"/>
      <c r="F5" s="129"/>
      <c r="G5" s="129"/>
      <c r="H5" s="129"/>
      <c r="I5" s="129"/>
      <c r="J5" s="131"/>
      <c r="K5" s="131"/>
      <c r="L5" s="130"/>
    </row>
    <row r="6" spans="2:12" ht="18" customHeight="1" x14ac:dyDescent="0.25">
      <c r="B6" s="193" t="s">
        <v>40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2:12" ht="18" customHeight="1" x14ac:dyDescent="0.3">
      <c r="B7" s="129"/>
      <c r="C7" s="132"/>
      <c r="D7" s="132"/>
      <c r="E7" s="132"/>
      <c r="F7" s="132"/>
      <c r="G7" s="132"/>
      <c r="H7" s="132"/>
      <c r="I7" s="132"/>
      <c r="J7" s="132"/>
      <c r="K7" s="132"/>
      <c r="L7" s="130"/>
    </row>
    <row r="8" spans="2:12" ht="17.25" x14ac:dyDescent="0.3">
      <c r="B8" s="183" t="s">
        <v>42</v>
      </c>
      <c r="C8" s="183"/>
      <c r="D8" s="183"/>
      <c r="E8" s="183"/>
      <c r="F8" s="183"/>
      <c r="G8" s="133"/>
      <c r="H8" s="133"/>
      <c r="I8" s="133"/>
      <c r="J8" s="133"/>
      <c r="K8" s="134"/>
      <c r="L8" s="130"/>
    </row>
    <row r="9" spans="2:12" ht="49.5" x14ac:dyDescent="0.25">
      <c r="B9" s="182" t="s">
        <v>7</v>
      </c>
      <c r="C9" s="184"/>
      <c r="D9" s="184"/>
      <c r="E9" s="184"/>
      <c r="F9" s="185"/>
      <c r="G9" s="135" t="s">
        <v>43</v>
      </c>
      <c r="H9" s="136" t="s">
        <v>32</v>
      </c>
      <c r="I9" s="136" t="s">
        <v>30</v>
      </c>
      <c r="J9" s="135" t="s">
        <v>44</v>
      </c>
      <c r="K9" s="136" t="s">
        <v>12</v>
      </c>
      <c r="L9" s="136" t="s">
        <v>31</v>
      </c>
    </row>
    <row r="10" spans="2:12" s="10" customFormat="1" ht="16.5" x14ac:dyDescent="0.25">
      <c r="B10" s="181">
        <v>1</v>
      </c>
      <c r="C10" s="181"/>
      <c r="D10" s="181"/>
      <c r="E10" s="181"/>
      <c r="F10" s="182"/>
      <c r="G10" s="135">
        <v>2</v>
      </c>
      <c r="H10" s="136">
        <v>3</v>
      </c>
      <c r="I10" s="136">
        <v>4</v>
      </c>
      <c r="J10" s="136">
        <v>5</v>
      </c>
      <c r="K10" s="136" t="s">
        <v>14</v>
      </c>
      <c r="L10" s="136" t="s">
        <v>15</v>
      </c>
    </row>
    <row r="11" spans="2:12" ht="16.5" x14ac:dyDescent="0.25">
      <c r="B11" s="186" t="s">
        <v>0</v>
      </c>
      <c r="C11" s="175"/>
      <c r="D11" s="175"/>
      <c r="E11" s="175"/>
      <c r="F11" s="187"/>
      <c r="G11" s="137">
        <f>+G12+G13</f>
        <v>404837</v>
      </c>
      <c r="H11" s="137">
        <f t="shared" ref="H11:J11" si="0">+H12+H13</f>
        <v>1054302</v>
      </c>
      <c r="I11" s="137">
        <f t="shared" si="0"/>
        <v>1054302</v>
      </c>
      <c r="J11" s="137">
        <f t="shared" si="0"/>
        <v>591070</v>
      </c>
      <c r="K11" s="137">
        <f>+J11/G11*100</f>
        <v>146.00197116370293</v>
      </c>
      <c r="L11" s="137">
        <f>+J11/I11*100</f>
        <v>56.06268412655956</v>
      </c>
    </row>
    <row r="12" spans="2:12" ht="16.5" x14ac:dyDescent="0.25">
      <c r="B12" s="176" t="s">
        <v>33</v>
      </c>
      <c r="C12" s="177"/>
      <c r="D12" s="177"/>
      <c r="E12" s="177"/>
      <c r="F12" s="189"/>
      <c r="G12" s="138">
        <v>404837</v>
      </c>
      <c r="H12" s="138">
        <v>1054302</v>
      </c>
      <c r="I12" s="138">
        <v>1054302</v>
      </c>
      <c r="J12" s="138">
        <v>591070</v>
      </c>
      <c r="K12" s="138">
        <f>+J12/G12*100</f>
        <v>146.00197116370293</v>
      </c>
      <c r="L12" s="137">
        <f t="shared" ref="L12:L16" si="1">+J12/I12*100</f>
        <v>56.06268412655956</v>
      </c>
    </row>
    <row r="13" spans="2:12" ht="16.5" x14ac:dyDescent="0.25">
      <c r="B13" s="191" t="s">
        <v>34</v>
      </c>
      <c r="C13" s="189"/>
      <c r="D13" s="189"/>
      <c r="E13" s="189"/>
      <c r="F13" s="189"/>
      <c r="G13" s="138">
        <v>0</v>
      </c>
      <c r="H13" s="138"/>
      <c r="I13" s="138"/>
      <c r="J13" s="138"/>
      <c r="K13" s="138">
        <v>0</v>
      </c>
      <c r="L13" s="137">
        <v>0</v>
      </c>
    </row>
    <row r="14" spans="2:12" ht="16.5" x14ac:dyDescent="0.25">
      <c r="B14" s="139" t="s">
        <v>1</v>
      </c>
      <c r="C14" s="140"/>
      <c r="D14" s="140"/>
      <c r="E14" s="140"/>
      <c r="F14" s="140"/>
      <c r="G14" s="137">
        <f>+G15+G16</f>
        <v>404837.44</v>
      </c>
      <c r="H14" s="137">
        <f t="shared" ref="H14:J14" si="2">+H15+H16</f>
        <v>1054302</v>
      </c>
      <c r="I14" s="137">
        <f t="shared" si="2"/>
        <v>1054302</v>
      </c>
      <c r="J14" s="137">
        <f t="shared" si="2"/>
        <v>581339</v>
      </c>
      <c r="K14" s="138">
        <f t="shared" ref="K14:K17" si="3">+J14/G14*100</f>
        <v>143.59813163525587</v>
      </c>
      <c r="L14" s="137">
        <f t="shared" si="1"/>
        <v>55.139703804033381</v>
      </c>
    </row>
    <row r="15" spans="2:12" ht="16.5" x14ac:dyDescent="0.25">
      <c r="B15" s="180" t="s">
        <v>35</v>
      </c>
      <c r="C15" s="177"/>
      <c r="D15" s="177"/>
      <c r="E15" s="177"/>
      <c r="F15" s="177"/>
      <c r="G15" s="138">
        <v>404145</v>
      </c>
      <c r="H15" s="138">
        <v>1039294</v>
      </c>
      <c r="I15" s="138">
        <v>1039294</v>
      </c>
      <c r="J15" s="138">
        <v>552494</v>
      </c>
      <c r="K15" s="138">
        <f t="shared" si="3"/>
        <v>136.70687500773238</v>
      </c>
      <c r="L15" s="137">
        <f t="shared" si="1"/>
        <v>53.160510885274036</v>
      </c>
    </row>
    <row r="16" spans="2:12" ht="16.5" x14ac:dyDescent="0.25">
      <c r="B16" s="190" t="s">
        <v>36</v>
      </c>
      <c r="C16" s="189"/>
      <c r="D16" s="189"/>
      <c r="E16" s="189"/>
      <c r="F16" s="189"/>
      <c r="G16" s="141">
        <v>692.44</v>
      </c>
      <c r="H16" s="141">
        <v>15008</v>
      </c>
      <c r="I16" s="141">
        <v>15008</v>
      </c>
      <c r="J16" s="141">
        <v>28845</v>
      </c>
      <c r="K16" s="138">
        <f t="shared" si="3"/>
        <v>4165.7038877014611</v>
      </c>
      <c r="L16" s="137">
        <f t="shared" si="1"/>
        <v>192.19749466950958</v>
      </c>
    </row>
    <row r="17" spans="1:48" ht="16.5" x14ac:dyDescent="0.25">
      <c r="B17" s="174" t="s">
        <v>45</v>
      </c>
      <c r="C17" s="175"/>
      <c r="D17" s="175"/>
      <c r="E17" s="175"/>
      <c r="F17" s="175"/>
      <c r="G17" s="137">
        <f>+G11-G14</f>
        <v>-0.44000000000232831</v>
      </c>
      <c r="H17" s="137">
        <f t="shared" ref="H17:J17" si="4">+H11-H14</f>
        <v>0</v>
      </c>
      <c r="I17" s="137">
        <f t="shared" si="4"/>
        <v>0</v>
      </c>
      <c r="J17" s="137">
        <f t="shared" si="4"/>
        <v>9731</v>
      </c>
      <c r="K17" s="138">
        <v>0</v>
      </c>
      <c r="L17" s="137">
        <v>0</v>
      </c>
    </row>
    <row r="18" spans="1:48" ht="16.5" x14ac:dyDescent="0.25">
      <c r="B18" s="129"/>
      <c r="C18" s="142"/>
      <c r="D18" s="142"/>
      <c r="E18" s="142"/>
      <c r="F18" s="142"/>
      <c r="G18" s="142"/>
      <c r="H18" s="142"/>
      <c r="I18" s="143"/>
      <c r="J18" s="143"/>
      <c r="K18" s="143"/>
      <c r="L18" s="143"/>
    </row>
    <row r="19" spans="1:48" ht="18" customHeight="1" x14ac:dyDescent="0.25">
      <c r="B19" s="183" t="s">
        <v>46</v>
      </c>
      <c r="C19" s="183"/>
      <c r="D19" s="183"/>
      <c r="E19" s="183"/>
      <c r="F19" s="183"/>
      <c r="G19" s="142"/>
      <c r="H19" s="142"/>
      <c r="I19" s="143"/>
      <c r="J19" s="143"/>
      <c r="K19" s="143"/>
      <c r="L19" s="143"/>
    </row>
    <row r="20" spans="1:48" ht="49.5" x14ac:dyDescent="0.25">
      <c r="B20" s="182" t="s">
        <v>7</v>
      </c>
      <c r="C20" s="184"/>
      <c r="D20" s="184"/>
      <c r="E20" s="184"/>
      <c r="F20" s="185"/>
      <c r="G20" s="135" t="s">
        <v>43</v>
      </c>
      <c r="H20" s="136" t="s">
        <v>32</v>
      </c>
      <c r="I20" s="136" t="s">
        <v>30</v>
      </c>
      <c r="J20" s="135" t="s">
        <v>44</v>
      </c>
      <c r="K20" s="136" t="s">
        <v>12</v>
      </c>
      <c r="L20" s="136" t="s">
        <v>31</v>
      </c>
    </row>
    <row r="21" spans="1:48" s="10" customFormat="1" ht="16.5" x14ac:dyDescent="0.25">
      <c r="B21" s="181">
        <v>1</v>
      </c>
      <c r="C21" s="181"/>
      <c r="D21" s="181"/>
      <c r="E21" s="181"/>
      <c r="F21" s="182"/>
      <c r="G21" s="135">
        <v>2</v>
      </c>
      <c r="H21" s="136">
        <v>3</v>
      </c>
      <c r="I21" s="136">
        <v>4</v>
      </c>
      <c r="J21" s="136">
        <v>5</v>
      </c>
      <c r="K21" s="136" t="s">
        <v>14</v>
      </c>
      <c r="L21" s="136" t="s">
        <v>15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 customHeight="1" x14ac:dyDescent="0.25">
      <c r="B22" s="176" t="s">
        <v>37</v>
      </c>
      <c r="C22" s="178"/>
      <c r="D22" s="178"/>
      <c r="E22" s="178"/>
      <c r="F22" s="179"/>
      <c r="G22" s="144"/>
      <c r="H22" s="144"/>
      <c r="I22" s="144"/>
      <c r="J22" s="144"/>
      <c r="K22" s="144"/>
      <c r="L22" s="144"/>
    </row>
    <row r="23" spans="1:48" ht="16.5" x14ac:dyDescent="0.25">
      <c r="B23" s="176" t="s">
        <v>38</v>
      </c>
      <c r="C23" s="177"/>
      <c r="D23" s="177"/>
      <c r="E23" s="177"/>
      <c r="F23" s="177"/>
      <c r="G23" s="144"/>
      <c r="H23" s="144"/>
      <c r="I23" s="144"/>
      <c r="J23" s="144"/>
      <c r="K23" s="144"/>
      <c r="L23" s="144"/>
    </row>
    <row r="24" spans="1:48" s="16" customFormat="1" ht="15" customHeight="1" x14ac:dyDescent="0.25">
      <c r="A24"/>
      <c r="B24" s="171" t="s">
        <v>39</v>
      </c>
      <c r="C24" s="172"/>
      <c r="D24" s="172"/>
      <c r="E24" s="172"/>
      <c r="F24" s="173"/>
      <c r="G24" s="145"/>
      <c r="H24" s="145"/>
      <c r="I24" s="145"/>
      <c r="J24" s="145"/>
      <c r="K24" s="145"/>
      <c r="L24" s="14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6" customFormat="1" ht="15" customHeight="1" x14ac:dyDescent="0.25">
      <c r="A25"/>
      <c r="B25" s="171" t="s">
        <v>41</v>
      </c>
      <c r="C25" s="172"/>
      <c r="D25" s="172"/>
      <c r="E25" s="172"/>
      <c r="F25" s="173"/>
      <c r="G25" s="145"/>
      <c r="H25" s="145"/>
      <c r="I25" s="145"/>
      <c r="J25" s="145"/>
      <c r="K25" s="145"/>
      <c r="L25" s="14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6.5" x14ac:dyDescent="0.25">
      <c r="B26" s="174" t="s">
        <v>47</v>
      </c>
      <c r="C26" s="175"/>
      <c r="D26" s="175"/>
      <c r="E26" s="175"/>
      <c r="F26" s="175"/>
      <c r="G26" s="145"/>
      <c r="H26" s="145"/>
      <c r="I26" s="145"/>
      <c r="J26" s="145"/>
      <c r="K26" s="145"/>
      <c r="L26" s="145"/>
    </row>
    <row r="27" spans="1:48" ht="17.25" x14ac:dyDescent="0.3">
      <c r="B27" s="146"/>
      <c r="C27" s="147"/>
      <c r="D27" s="147"/>
      <c r="E27" s="147"/>
      <c r="F27" s="147"/>
      <c r="G27" s="148"/>
      <c r="H27" s="148"/>
      <c r="I27" s="148"/>
      <c r="J27" s="148"/>
      <c r="K27" s="148"/>
      <c r="L27" s="130"/>
    </row>
    <row r="28" spans="1:48" ht="17.25" x14ac:dyDescent="0.3">
      <c r="B28" s="149" t="s">
        <v>348</v>
      </c>
      <c r="C28" s="150"/>
      <c r="D28" s="150"/>
      <c r="E28" s="150"/>
      <c r="F28" s="150"/>
      <c r="G28" s="150"/>
      <c r="H28" s="150"/>
      <c r="I28" s="150"/>
      <c r="J28" s="150"/>
      <c r="K28" s="130"/>
      <c r="L28" s="130"/>
    </row>
    <row r="29" spans="1:48" ht="17.25" x14ac:dyDescent="0.3">
      <c r="B29" s="149" t="s">
        <v>349</v>
      </c>
      <c r="C29" s="150"/>
      <c r="D29" s="150"/>
      <c r="E29" s="150"/>
      <c r="F29" s="150"/>
      <c r="G29" s="150"/>
      <c r="H29" s="150"/>
      <c r="I29" s="150"/>
      <c r="J29" s="150"/>
      <c r="K29" s="130"/>
      <c r="L29" s="130"/>
    </row>
    <row r="30" spans="1:48" ht="15" customHeight="1" x14ac:dyDescent="0.3">
      <c r="B30" s="150" t="s">
        <v>345</v>
      </c>
      <c r="C30" s="150"/>
      <c r="D30" s="150"/>
      <c r="E30" s="150"/>
      <c r="F30" s="150"/>
      <c r="G30" s="150"/>
      <c r="H30" s="150"/>
      <c r="I30" s="150" t="s">
        <v>346</v>
      </c>
      <c r="J30" s="150"/>
      <c r="K30" s="130"/>
      <c r="L30" s="130"/>
    </row>
    <row r="31" spans="1:48" ht="17.25" x14ac:dyDescent="0.3">
      <c r="B31" s="150"/>
      <c r="C31" s="150"/>
      <c r="D31" s="150"/>
      <c r="E31" s="150"/>
      <c r="F31" s="150"/>
      <c r="G31" s="150"/>
      <c r="H31" s="150"/>
      <c r="I31" s="150" t="s">
        <v>347</v>
      </c>
      <c r="J31" s="150"/>
      <c r="K31" s="130"/>
      <c r="L31" s="130"/>
    </row>
    <row r="32" spans="1:48" ht="15" customHeight="1" x14ac:dyDescent="0.25"/>
    <row r="33" ht="36.75" customHeight="1" x14ac:dyDescent="0.25"/>
    <row r="35" ht="15" customHeight="1" x14ac:dyDescent="0.25"/>
  </sheetData>
  <mergeCells count="21">
    <mergeCell ref="B1:L1"/>
    <mergeCell ref="B4:L4"/>
    <mergeCell ref="B6:L6"/>
    <mergeCell ref="B9:F9"/>
    <mergeCell ref="B10:F10"/>
    <mergeCell ref="B11:F11"/>
    <mergeCell ref="B8:F8"/>
    <mergeCell ref="B5:D5"/>
    <mergeCell ref="B12:F12"/>
    <mergeCell ref="B16:F16"/>
    <mergeCell ref="B13:F13"/>
    <mergeCell ref="B25:F25"/>
    <mergeCell ref="B26:F26"/>
    <mergeCell ref="B23:F23"/>
    <mergeCell ref="B22:F22"/>
    <mergeCell ref="B15:F15"/>
    <mergeCell ref="B24:F24"/>
    <mergeCell ref="B17:F17"/>
    <mergeCell ref="B21:F21"/>
    <mergeCell ref="B19:F19"/>
    <mergeCell ref="B20:F20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tabSelected="1" topLeftCell="C94" workbookViewId="0">
      <selection activeCell="G14" sqref="G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5.75" customHeight="1" x14ac:dyDescent="0.25">
      <c r="B1" s="200" t="s">
        <v>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ht="18" x14ac:dyDescent="0.25">
      <c r="B2" s="1"/>
      <c r="C2" s="1"/>
      <c r="D2" s="1"/>
      <c r="E2" s="8"/>
      <c r="F2" s="1"/>
      <c r="G2" s="1"/>
      <c r="H2" s="1"/>
      <c r="I2" s="1"/>
      <c r="J2" s="2"/>
      <c r="K2" s="2"/>
    </row>
    <row r="3" spans="2:12" ht="18" customHeight="1" x14ac:dyDescent="0.25">
      <c r="B3" s="200" t="s">
        <v>48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2:12" ht="18" x14ac:dyDescent="0.25">
      <c r="B4" s="1"/>
      <c r="C4" s="1"/>
      <c r="D4" s="1"/>
      <c r="E4" s="8"/>
      <c r="F4" s="1"/>
      <c r="G4" s="1"/>
      <c r="H4" s="1"/>
      <c r="I4" s="1"/>
      <c r="J4" s="2"/>
      <c r="K4" s="2"/>
    </row>
    <row r="5" spans="2:12" ht="15.75" customHeight="1" x14ac:dyDescent="0.25">
      <c r="B5" s="200" t="s">
        <v>13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2:12" ht="18" x14ac:dyDescent="0.25">
      <c r="B6" s="1"/>
      <c r="C6" s="1"/>
      <c r="D6" s="1"/>
      <c r="E6" s="8"/>
      <c r="F6" s="1"/>
      <c r="G6" s="1"/>
      <c r="H6" s="1"/>
      <c r="I6" s="1"/>
      <c r="J6" s="2"/>
      <c r="K6" s="2"/>
    </row>
    <row r="7" spans="2:12" ht="25.5" x14ac:dyDescent="0.25">
      <c r="B7" s="194" t="s">
        <v>7</v>
      </c>
      <c r="C7" s="195"/>
      <c r="D7" s="195"/>
      <c r="E7" s="195"/>
      <c r="F7" s="196"/>
      <c r="G7" s="18" t="s">
        <v>43</v>
      </c>
      <c r="H7" s="18" t="s">
        <v>32</v>
      </c>
      <c r="I7" s="18" t="s">
        <v>30</v>
      </c>
      <c r="J7" s="18" t="s">
        <v>44</v>
      </c>
      <c r="K7" s="18" t="s">
        <v>12</v>
      </c>
      <c r="L7" s="18" t="s">
        <v>31</v>
      </c>
    </row>
    <row r="8" spans="2:12" s="10" customFormat="1" ht="11.25" x14ac:dyDescent="0.2">
      <c r="B8" s="197">
        <v>1</v>
      </c>
      <c r="C8" s="198"/>
      <c r="D8" s="198"/>
      <c r="E8" s="198"/>
      <c r="F8" s="199"/>
      <c r="G8" s="19">
        <v>2</v>
      </c>
      <c r="H8" s="19">
        <v>3</v>
      </c>
      <c r="I8" s="19">
        <v>4</v>
      </c>
      <c r="J8" s="19">
        <v>5</v>
      </c>
      <c r="K8" s="19" t="s">
        <v>14</v>
      </c>
      <c r="L8" s="19" t="s">
        <v>15</v>
      </c>
    </row>
    <row r="9" spans="2:12" ht="15.75" x14ac:dyDescent="0.25">
      <c r="B9" s="60"/>
      <c r="C9" s="60"/>
      <c r="D9" s="60"/>
      <c r="E9" s="60"/>
      <c r="F9" s="60" t="s">
        <v>16</v>
      </c>
      <c r="G9" s="112">
        <f>+G10+G25</f>
        <v>404836.73316079366</v>
      </c>
      <c r="H9" s="112">
        <f>+H10</f>
        <v>1054302</v>
      </c>
      <c r="I9" s="112">
        <f>+I10</f>
        <v>1054302</v>
      </c>
      <c r="J9" s="58">
        <f>+J10+J25</f>
        <v>591069.88000000012</v>
      </c>
      <c r="K9" s="113">
        <f>+J9/G9*100</f>
        <v>146.00203775610402</v>
      </c>
      <c r="L9" s="113">
        <f>+J9/I9*100</f>
        <v>56.062672744621565</v>
      </c>
    </row>
    <row r="10" spans="2:12" ht="15.75" customHeight="1" x14ac:dyDescent="0.25">
      <c r="B10" s="4">
        <v>6</v>
      </c>
      <c r="C10" s="4"/>
      <c r="D10" s="4"/>
      <c r="E10" s="4"/>
      <c r="F10" s="4" t="s">
        <v>2</v>
      </c>
      <c r="G10" s="109">
        <f>+G11+G15+G18+G21</f>
        <v>404836.73316079366</v>
      </c>
      <c r="H10" s="109">
        <f>+H11+H15+H18+H21</f>
        <v>1054302</v>
      </c>
      <c r="I10" s="109">
        <f>+I11+I15+I18+I21</f>
        <v>1054302</v>
      </c>
      <c r="J10" s="55">
        <f>+J11+J15+J18+J21</f>
        <v>591069.88000000012</v>
      </c>
      <c r="K10" s="125">
        <f t="shared" ref="K10:K23" si="0">+J10/G10*100</f>
        <v>146.00203775610402</v>
      </c>
      <c r="L10" s="113">
        <f t="shared" ref="L10:L23" si="1">+J10/I10*100</f>
        <v>56.062672744621565</v>
      </c>
    </row>
    <row r="11" spans="2:12" ht="25.5" x14ac:dyDescent="0.25">
      <c r="B11" s="4"/>
      <c r="C11" s="7">
        <v>63</v>
      </c>
      <c r="D11" s="7"/>
      <c r="E11" s="7"/>
      <c r="F11" s="7" t="s">
        <v>17</v>
      </c>
      <c r="G11" s="109">
        <f t="shared" ref="G11:J12" si="2">+G12</f>
        <v>317928</v>
      </c>
      <c r="H11" s="109">
        <f t="shared" si="2"/>
        <v>864828</v>
      </c>
      <c r="I11" s="109">
        <f t="shared" si="2"/>
        <v>864828</v>
      </c>
      <c r="J11" s="55">
        <f t="shared" si="2"/>
        <v>496140.7900000001</v>
      </c>
      <c r="K11" s="125">
        <f t="shared" si="0"/>
        <v>156.05444943509227</v>
      </c>
      <c r="L11" s="113">
        <f t="shared" si="1"/>
        <v>57.368724185618426</v>
      </c>
    </row>
    <row r="12" spans="2:12" ht="15.75" x14ac:dyDescent="0.25">
      <c r="B12" s="5"/>
      <c r="C12" s="5"/>
      <c r="D12" s="5">
        <v>631</v>
      </c>
      <c r="E12" s="5"/>
      <c r="F12" s="5" t="s">
        <v>18</v>
      </c>
      <c r="G12" s="109">
        <v>317928</v>
      </c>
      <c r="H12" s="109">
        <f t="shared" si="2"/>
        <v>864828</v>
      </c>
      <c r="I12" s="109">
        <f t="shared" si="2"/>
        <v>864828</v>
      </c>
      <c r="J12" s="55">
        <f t="shared" si="2"/>
        <v>496140.7900000001</v>
      </c>
      <c r="K12" s="125">
        <f t="shared" si="0"/>
        <v>156.05444943509227</v>
      </c>
      <c r="L12" s="113">
        <f t="shared" si="1"/>
        <v>57.368724185618426</v>
      </c>
    </row>
    <row r="13" spans="2:12" ht="15.75" x14ac:dyDescent="0.25">
      <c r="B13" s="5"/>
      <c r="C13" s="5"/>
      <c r="D13" s="5"/>
      <c r="E13" s="5">
        <v>6361</v>
      </c>
      <c r="F13" s="21" t="s">
        <v>52</v>
      </c>
      <c r="G13" s="109">
        <f>(2047714.94+0+20650+10140+300474.81+0+2738.85+0+4500+4000+5209.67)/7.5345</f>
        <v>317927.96735018911</v>
      </c>
      <c r="H13" s="109">
        <f>738000+7300+3320+61750+25900+870+365+3170.01+1329.99+465+195+1395+585+190+80+655+275+705+295+465.01+194.99+549.99+230.01+845+355+175+75+1870+790+7550+3165+125+1593</f>
        <v>864828</v>
      </c>
      <c r="I13" s="109">
        <f>738000+3320+7300+87650+1235+4500+660+1980+270+930+1000+660+780+1200+250+1593+125+13805-430</f>
        <v>864828</v>
      </c>
      <c r="J13" s="55">
        <f>390043.7+3407.32+184.44+43562+991.83+945.84+303.05+1069.03+236.32+754.5+530.89+24793.86+472.76+28845.25</f>
        <v>496140.7900000001</v>
      </c>
      <c r="K13" s="125">
        <f t="shared" si="0"/>
        <v>156.05446546120129</v>
      </c>
      <c r="L13" s="113">
        <f t="shared" si="1"/>
        <v>57.368724185618426</v>
      </c>
    </row>
    <row r="14" spans="2:12" ht="15.75" x14ac:dyDescent="0.25">
      <c r="B14" s="5"/>
      <c r="C14" s="5"/>
      <c r="D14" s="6"/>
      <c r="E14" s="6" t="s">
        <v>11</v>
      </c>
      <c r="F14" s="6"/>
      <c r="G14" s="109"/>
      <c r="H14" s="109"/>
      <c r="I14" s="110"/>
      <c r="J14" s="111"/>
      <c r="K14" s="125"/>
      <c r="L14" s="113"/>
    </row>
    <row r="15" spans="2:12" ht="15.75" x14ac:dyDescent="0.25">
      <c r="B15" s="5"/>
      <c r="C15" s="5">
        <v>65</v>
      </c>
      <c r="D15" s="6"/>
      <c r="E15" s="6"/>
      <c r="F15" s="6" t="s">
        <v>54</v>
      </c>
      <c r="G15" s="109">
        <f t="shared" ref="G15:J16" si="3">+G16</f>
        <v>30193.775300285353</v>
      </c>
      <c r="H15" s="109">
        <f t="shared" si="3"/>
        <v>51169</v>
      </c>
      <c r="I15" s="109">
        <f t="shared" si="3"/>
        <v>51169</v>
      </c>
      <c r="J15" s="55">
        <f t="shared" si="3"/>
        <v>12047.56</v>
      </c>
      <c r="K15" s="125">
        <f t="shared" si="0"/>
        <v>39.900806971581794</v>
      </c>
      <c r="L15" s="113">
        <f t="shared" si="1"/>
        <v>23.544646172487248</v>
      </c>
    </row>
    <row r="16" spans="2:12" ht="15.75" x14ac:dyDescent="0.25">
      <c r="B16" s="5"/>
      <c r="C16" s="5"/>
      <c r="D16" s="6">
        <v>652</v>
      </c>
      <c r="E16" s="6"/>
      <c r="F16" s="6" t="s">
        <v>55</v>
      </c>
      <c r="G16" s="109">
        <f t="shared" si="3"/>
        <v>30193.775300285353</v>
      </c>
      <c r="H16" s="109">
        <f t="shared" si="3"/>
        <v>51169</v>
      </c>
      <c r="I16" s="109">
        <f t="shared" si="3"/>
        <v>51169</v>
      </c>
      <c r="J16" s="55">
        <f t="shared" si="3"/>
        <v>12047.56</v>
      </c>
      <c r="K16" s="125">
        <f t="shared" si="0"/>
        <v>39.900806971581794</v>
      </c>
      <c r="L16" s="113">
        <f t="shared" si="1"/>
        <v>23.544646172487248</v>
      </c>
    </row>
    <row r="17" spans="2:12" ht="15.75" x14ac:dyDescent="0.25">
      <c r="B17" s="5"/>
      <c r="C17" s="5"/>
      <c r="D17" s="6"/>
      <c r="E17" s="6">
        <v>6526</v>
      </c>
      <c r="F17" s="6" t="s">
        <v>53</v>
      </c>
      <c r="G17" s="109">
        <f>(258285-20650-10140)/7.5345</f>
        <v>30193.775300285353</v>
      </c>
      <c r="H17" s="109">
        <f>597+50572</f>
        <v>51169</v>
      </c>
      <c r="I17" s="109">
        <f>597+50572</f>
        <v>51169</v>
      </c>
      <c r="J17" s="55">
        <f>15639.32-3407.32-184.44</f>
        <v>12047.56</v>
      </c>
      <c r="K17" s="125">
        <f t="shared" si="0"/>
        <v>39.900806971581794</v>
      </c>
      <c r="L17" s="113">
        <f t="shared" si="1"/>
        <v>23.544646172487248</v>
      </c>
    </row>
    <row r="18" spans="2:12" ht="25.5" x14ac:dyDescent="0.25">
      <c r="B18" s="5"/>
      <c r="C18" s="5">
        <v>66</v>
      </c>
      <c r="D18" s="6"/>
      <c r="E18" s="6"/>
      <c r="F18" s="7" t="s">
        <v>19</v>
      </c>
      <c r="G18" s="110"/>
      <c r="H18" s="109">
        <v>0</v>
      </c>
      <c r="I18" s="109">
        <v>0</v>
      </c>
      <c r="J18" s="111">
        <f>+J19</f>
        <v>0</v>
      </c>
      <c r="K18" s="125" t="e">
        <f t="shared" si="0"/>
        <v>#DIV/0!</v>
      </c>
      <c r="L18" s="113">
        <v>0</v>
      </c>
    </row>
    <row r="19" spans="2:12" ht="15.75" x14ac:dyDescent="0.25">
      <c r="B19" s="5"/>
      <c r="C19" s="9"/>
      <c r="D19" s="6">
        <v>663</v>
      </c>
      <c r="E19" s="6"/>
      <c r="F19" s="7" t="s">
        <v>56</v>
      </c>
      <c r="G19" s="110"/>
      <c r="H19" s="109">
        <v>0</v>
      </c>
      <c r="I19" s="109">
        <v>0</v>
      </c>
      <c r="J19" s="111">
        <f>+J20</f>
        <v>0</v>
      </c>
      <c r="K19" s="125" t="e">
        <f t="shared" si="0"/>
        <v>#DIV/0!</v>
      </c>
      <c r="L19" s="113">
        <v>0</v>
      </c>
    </row>
    <row r="20" spans="2:12" ht="15.75" x14ac:dyDescent="0.25">
      <c r="B20" s="5"/>
      <c r="C20" s="9"/>
      <c r="D20" s="6"/>
      <c r="E20" s="6">
        <v>6631</v>
      </c>
      <c r="F20" s="7" t="s">
        <v>57</v>
      </c>
      <c r="G20" s="110"/>
      <c r="H20" s="109">
        <v>0</v>
      </c>
      <c r="I20" s="109">
        <v>0</v>
      </c>
      <c r="J20" s="111">
        <v>0</v>
      </c>
      <c r="K20" s="125" t="e">
        <f t="shared" si="0"/>
        <v>#DIV/0!</v>
      </c>
      <c r="L20" s="113">
        <v>0</v>
      </c>
    </row>
    <row r="21" spans="2:12" ht="15.75" x14ac:dyDescent="0.25">
      <c r="B21" s="5"/>
      <c r="C21" s="5">
        <v>67</v>
      </c>
      <c r="D21" s="6"/>
      <c r="E21" s="6" t="s">
        <v>20</v>
      </c>
      <c r="F21" s="7" t="s">
        <v>58</v>
      </c>
      <c r="G21" s="109">
        <f t="shared" ref="G21:J22" si="4">+G22</f>
        <v>56714.957860508322</v>
      </c>
      <c r="H21" s="109">
        <v>138305</v>
      </c>
      <c r="I21" s="109">
        <v>138305</v>
      </c>
      <c r="J21" s="55">
        <f t="shared" si="4"/>
        <v>82881.53</v>
      </c>
      <c r="K21" s="125">
        <f t="shared" si="0"/>
        <v>146.13698594971882</v>
      </c>
      <c r="L21" s="113">
        <f t="shared" si="1"/>
        <v>59.926633165829145</v>
      </c>
    </row>
    <row r="22" spans="2:12" ht="15.75" x14ac:dyDescent="0.25">
      <c r="B22" s="5"/>
      <c r="C22" s="5"/>
      <c r="D22" s="6">
        <v>671</v>
      </c>
      <c r="E22" s="6"/>
      <c r="F22" s="7" t="s">
        <v>58</v>
      </c>
      <c r="G22" s="109">
        <f t="shared" si="4"/>
        <v>56714.957860508322</v>
      </c>
      <c r="H22" s="109">
        <f t="shared" si="4"/>
        <v>138305</v>
      </c>
      <c r="I22" s="109">
        <v>138305</v>
      </c>
      <c r="J22" s="55">
        <f t="shared" si="4"/>
        <v>82881.53</v>
      </c>
      <c r="K22" s="125">
        <f t="shared" si="0"/>
        <v>146.13698594971882</v>
      </c>
      <c r="L22" s="113">
        <f t="shared" si="1"/>
        <v>59.926633165829145</v>
      </c>
    </row>
    <row r="23" spans="2:12" ht="25.5" x14ac:dyDescent="0.25">
      <c r="B23" s="5"/>
      <c r="C23" s="5"/>
      <c r="D23" s="6">
        <v>6711</v>
      </c>
      <c r="E23" s="6"/>
      <c r="F23" s="7" t="s">
        <v>59</v>
      </c>
      <c r="G23" s="109">
        <f>(97368+225459.36+0+40869.06+200+2802.87+0+2981+57638.56)/7.5345</f>
        <v>56714.957860508322</v>
      </c>
      <c r="H23" s="109">
        <f>25846+76232+25018+930+2124+430+1158+6567</f>
        <v>138305</v>
      </c>
      <c r="I23" s="109">
        <v>138305</v>
      </c>
      <c r="J23" s="55">
        <f>11143.84+41920.28+20049.63+366.56+663.75+8737.47</f>
        <v>82881.53</v>
      </c>
      <c r="K23" s="125">
        <f t="shared" si="0"/>
        <v>146.13698594971882</v>
      </c>
      <c r="L23" s="113">
        <f t="shared" si="1"/>
        <v>59.926633165829145</v>
      </c>
    </row>
    <row r="24" spans="2:12" ht="15.75" x14ac:dyDescent="0.25">
      <c r="B24" s="5"/>
      <c r="C24" s="5"/>
      <c r="D24" s="6"/>
      <c r="E24" s="6"/>
      <c r="F24" s="7"/>
      <c r="G24" s="3"/>
      <c r="H24" s="3"/>
      <c r="I24" s="3"/>
      <c r="J24" s="11"/>
      <c r="K24" s="23"/>
      <c r="L24" s="59"/>
    </row>
    <row r="25" spans="2:12" ht="15.75" x14ac:dyDescent="0.25">
      <c r="B25" s="9">
        <v>7</v>
      </c>
      <c r="C25" s="9"/>
      <c r="D25" s="13"/>
      <c r="E25" s="13"/>
      <c r="F25" s="4" t="s">
        <v>3</v>
      </c>
      <c r="G25" s="14">
        <v>0</v>
      </c>
      <c r="H25" s="14"/>
      <c r="I25" s="14"/>
      <c r="J25" s="15"/>
      <c r="K25" s="23"/>
      <c r="L25" s="59"/>
    </row>
    <row r="26" spans="2:12" ht="15.75" x14ac:dyDescent="0.25">
      <c r="B26" s="5"/>
      <c r="C26" s="5">
        <v>72</v>
      </c>
      <c r="D26" s="6"/>
      <c r="E26" s="6"/>
      <c r="F26" s="12" t="s">
        <v>21</v>
      </c>
      <c r="G26" s="3">
        <v>0</v>
      </c>
      <c r="H26" s="3"/>
      <c r="I26" s="3"/>
      <c r="J26" s="11"/>
      <c r="K26" s="11"/>
      <c r="L26" s="59"/>
    </row>
    <row r="27" spans="2:12" ht="15.75" x14ac:dyDescent="0.25">
      <c r="B27" s="5"/>
      <c r="C27" s="5"/>
      <c r="D27" s="5">
        <v>721</v>
      </c>
      <c r="E27" s="5"/>
      <c r="F27" s="12" t="s">
        <v>22</v>
      </c>
      <c r="G27" s="3">
        <v>0</v>
      </c>
      <c r="H27" s="3"/>
      <c r="I27" s="3"/>
      <c r="J27" s="11"/>
      <c r="K27" s="11"/>
      <c r="L27" s="59"/>
    </row>
    <row r="28" spans="2:12" ht="15.75" x14ac:dyDescent="0.25">
      <c r="B28" s="5"/>
      <c r="C28" s="5"/>
      <c r="D28" s="5"/>
      <c r="E28" s="5">
        <v>7211</v>
      </c>
      <c r="F28" s="12" t="s">
        <v>23</v>
      </c>
      <c r="G28" s="3">
        <v>0</v>
      </c>
      <c r="H28" s="3"/>
      <c r="I28" s="3"/>
      <c r="J28" s="11"/>
      <c r="K28" s="11"/>
      <c r="L28" s="59"/>
    </row>
    <row r="29" spans="2:12" x14ac:dyDescent="0.25">
      <c r="B29" s="5"/>
      <c r="C29" s="5"/>
      <c r="D29" s="5"/>
      <c r="E29" s="5" t="s">
        <v>11</v>
      </c>
      <c r="F29" s="12"/>
      <c r="G29" s="3"/>
      <c r="H29" s="3"/>
      <c r="I29" s="3"/>
      <c r="J29" s="11"/>
      <c r="K29" s="11"/>
      <c r="L29" s="11"/>
    </row>
    <row r="30" spans="2:12" ht="15.75" customHeight="1" x14ac:dyDescent="0.25"/>
    <row r="31" spans="2:12" ht="15.75" customHeight="1" x14ac:dyDescent="0.25">
      <c r="B31" s="8"/>
      <c r="C31" s="8"/>
      <c r="D31" s="8"/>
      <c r="E31" s="8"/>
      <c r="F31" s="8"/>
      <c r="G31" s="8"/>
      <c r="H31" s="8"/>
      <c r="I31" s="8"/>
      <c r="J31" s="2"/>
      <c r="K31" s="2"/>
      <c r="L31" s="2"/>
    </row>
    <row r="32" spans="2:12" ht="25.5" x14ac:dyDescent="0.25">
      <c r="B32" s="194" t="s">
        <v>7</v>
      </c>
      <c r="C32" s="195"/>
      <c r="D32" s="195"/>
      <c r="E32" s="195"/>
      <c r="F32" s="196"/>
      <c r="G32" s="18" t="s">
        <v>43</v>
      </c>
      <c r="H32" s="18" t="s">
        <v>32</v>
      </c>
      <c r="I32" s="18" t="s">
        <v>30</v>
      </c>
      <c r="J32" s="18" t="s">
        <v>44</v>
      </c>
      <c r="K32" s="18" t="s">
        <v>12</v>
      </c>
      <c r="L32" s="18" t="s">
        <v>31</v>
      </c>
    </row>
    <row r="33" spans="2:12" s="10" customFormat="1" ht="12.75" customHeight="1" x14ac:dyDescent="0.2">
      <c r="B33" s="197">
        <v>1</v>
      </c>
      <c r="C33" s="198"/>
      <c r="D33" s="198"/>
      <c r="E33" s="198"/>
      <c r="F33" s="199"/>
      <c r="G33" s="47">
        <v>2</v>
      </c>
      <c r="H33" s="47">
        <v>3</v>
      </c>
      <c r="I33" s="47">
        <v>4</v>
      </c>
      <c r="J33" s="47">
        <v>5</v>
      </c>
      <c r="K33" s="47" t="s">
        <v>14</v>
      </c>
      <c r="L33" s="47" t="s">
        <v>15</v>
      </c>
    </row>
    <row r="34" spans="2:12" x14ac:dyDescent="0.25">
      <c r="B34" s="25" t="s">
        <v>60</v>
      </c>
      <c r="C34" s="26"/>
      <c r="D34" s="27"/>
      <c r="E34" s="28"/>
      <c r="F34" s="46" t="s">
        <v>4</v>
      </c>
      <c r="G34" s="128">
        <f>G36+G40+G42+G45+G50+G57+G67+G69+G77+G80+G84</f>
        <v>404145.25847766933</v>
      </c>
      <c r="H34" s="54">
        <f>H36+H40+H42+H45+H50+H57+H67+H69+H77+H80+H84</f>
        <v>1039293.9999999999</v>
      </c>
      <c r="I34" s="54">
        <f>I36+I40+I42+I45+I50+I57+I67+I69+I77+I80+I84</f>
        <v>1039293.9999999999</v>
      </c>
      <c r="J34" s="55">
        <f>J36+J40+J42+J45+J50+J57+J69+J77+J80+J84</f>
        <v>562224.63</v>
      </c>
      <c r="K34" s="54">
        <f>+J34/G34*100</f>
        <v>139.11449366442713</v>
      </c>
      <c r="L34" s="54">
        <f>+J34/I34*100</f>
        <v>54.096783970657015</v>
      </c>
    </row>
    <row r="35" spans="2:12" ht="18.75" x14ac:dyDescent="0.3">
      <c r="B35" s="29" t="s">
        <v>61</v>
      </c>
      <c r="C35" s="30"/>
      <c r="D35" s="31"/>
      <c r="E35" s="32"/>
      <c r="F35" s="48" t="s">
        <v>5</v>
      </c>
      <c r="G35" s="114"/>
      <c r="H35" s="121"/>
      <c r="I35" s="121"/>
      <c r="J35" s="54">
        <f>J36+J40+J42</f>
        <v>427050.67999999993</v>
      </c>
      <c r="K35" s="121"/>
      <c r="L35" s="121"/>
    </row>
    <row r="36" spans="2:12" x14ac:dyDescent="0.25">
      <c r="B36" s="30"/>
      <c r="C36" s="29" t="s">
        <v>62</v>
      </c>
      <c r="D36" s="31"/>
      <c r="E36" s="32"/>
      <c r="F36" s="48" t="s">
        <v>24</v>
      </c>
      <c r="G36" s="127">
        <f>(1500+1468734.31+246057.58+44838.56)/7.5345</f>
        <v>233742.17930851417</v>
      </c>
      <c r="H36" s="54">
        <f>596915.05+64607.03+1646.2+5707.08</f>
        <v>668875.36</v>
      </c>
      <c r="I36" s="54">
        <f>596915.05+64607.03+1646.2+5707.08</f>
        <v>668875.36</v>
      </c>
      <c r="J36" s="54">
        <f>310196.99+35864.76+543.41+6719.55</f>
        <v>353324.70999999996</v>
      </c>
      <c r="K36" s="54">
        <f>J36/G36*100</f>
        <v>151.16001358644385</v>
      </c>
      <c r="L36" s="54">
        <f>J36/I36*100</f>
        <v>52.823699470705563</v>
      </c>
    </row>
    <row r="37" spans="2:12" x14ac:dyDescent="0.25">
      <c r="B37" s="30"/>
      <c r="C37" s="30"/>
      <c r="D37" s="33" t="s">
        <v>63</v>
      </c>
      <c r="E37" s="32"/>
      <c r="F37" s="48" t="s">
        <v>25</v>
      </c>
      <c r="G37" s="116"/>
      <c r="H37" s="55"/>
      <c r="I37" s="55"/>
      <c r="J37" s="55">
        <f>307448.86+11530.52+24334.24+543.41+1875.17+4844.38</f>
        <v>350576.57999999996</v>
      </c>
      <c r="K37" s="121"/>
      <c r="L37" s="121"/>
    </row>
    <row r="38" spans="2:12" x14ac:dyDescent="0.25">
      <c r="B38" s="30"/>
      <c r="C38" s="30"/>
      <c r="D38" s="33">
        <v>3113</v>
      </c>
      <c r="E38" s="32"/>
      <c r="F38" s="48" t="s">
        <v>342</v>
      </c>
      <c r="G38" s="116"/>
      <c r="H38" s="55"/>
      <c r="I38" s="55"/>
      <c r="J38" s="55">
        <v>2507.9899999999998</v>
      </c>
      <c r="K38" s="121"/>
      <c r="L38" s="121"/>
    </row>
    <row r="39" spans="2:12" x14ac:dyDescent="0.25">
      <c r="B39" s="30"/>
      <c r="C39" s="30"/>
      <c r="D39" s="33">
        <v>3114</v>
      </c>
      <c r="E39" s="32"/>
      <c r="F39" s="48" t="s">
        <v>343</v>
      </c>
      <c r="G39" s="116"/>
      <c r="H39" s="55"/>
      <c r="I39" s="55"/>
      <c r="J39" s="55">
        <v>240.14</v>
      </c>
      <c r="K39" s="121"/>
      <c r="L39" s="121"/>
    </row>
    <row r="40" spans="2:12" x14ac:dyDescent="0.25">
      <c r="B40" s="30"/>
      <c r="C40" s="29" t="s">
        <v>64</v>
      </c>
      <c r="D40" s="31"/>
      <c r="E40" s="32"/>
      <c r="F40" s="48" t="s">
        <v>65</v>
      </c>
      <c r="G40" s="127">
        <f>(64290.3+9000+3000)/7.5345</f>
        <v>10125.462870794347</v>
      </c>
      <c r="H40" s="55">
        <f>25217.33+9290.6+398.7</f>
        <v>34906.629999999997</v>
      </c>
      <c r="I40" s="55">
        <f>25217.33+9290.6+398.7</f>
        <v>34906.629999999997</v>
      </c>
      <c r="J40" s="54">
        <f>13038.54+1500+398.7</f>
        <v>14937.240000000002</v>
      </c>
      <c r="K40" s="54">
        <f>J40/G40*100</f>
        <v>147.52155225500491</v>
      </c>
      <c r="L40" s="54">
        <f>J40/I40*100</f>
        <v>42.791985362093108</v>
      </c>
    </row>
    <row r="41" spans="2:12" x14ac:dyDescent="0.25">
      <c r="B41" s="30"/>
      <c r="C41" s="30"/>
      <c r="D41" s="33" t="s">
        <v>66</v>
      </c>
      <c r="E41" s="32"/>
      <c r="F41" s="48" t="s">
        <v>65</v>
      </c>
      <c r="G41" s="117"/>
      <c r="H41" s="55"/>
      <c r="I41" s="55"/>
      <c r="J41" s="54">
        <f>13038.54+482.25+1017.75+228.94+169.76</f>
        <v>14937.240000000002</v>
      </c>
      <c r="K41" s="121"/>
      <c r="L41" s="121"/>
    </row>
    <row r="42" spans="2:12" x14ac:dyDescent="0.25">
      <c r="B42" s="30"/>
      <c r="C42" s="29" t="s">
        <v>67</v>
      </c>
      <c r="D42" s="31"/>
      <c r="E42" s="32"/>
      <c r="F42" s="48" t="s">
        <v>68</v>
      </c>
      <c r="G42" s="127">
        <f>(300+396230.45+40599.5+8000)/7.5345</f>
        <v>59078.897073462074</v>
      </c>
      <c r="H42" s="55">
        <f>89720.62+10352.37+344.8+1128.14</f>
        <v>101545.93</v>
      </c>
      <c r="I42" s="55">
        <f>89720.62+10352.37+344.8+1128.14</f>
        <v>101545.93</v>
      </c>
      <c r="J42" s="54">
        <f>51622.57+5917.68+120.34+1128.14</f>
        <v>58788.729999999996</v>
      </c>
      <c r="K42" s="54">
        <f>J42/G42*100</f>
        <v>99.508848188040361</v>
      </c>
      <c r="L42" s="54">
        <f>J42/I42*100</f>
        <v>57.893733407139017</v>
      </c>
    </row>
    <row r="43" spans="2:12" x14ac:dyDescent="0.25">
      <c r="B43" s="30"/>
      <c r="C43" s="30"/>
      <c r="D43" s="33" t="s">
        <v>69</v>
      </c>
      <c r="E43" s="32"/>
      <c r="F43" s="48" t="s">
        <v>70</v>
      </c>
      <c r="G43" s="117"/>
      <c r="H43" s="55">
        <v>101546</v>
      </c>
      <c r="I43" s="55">
        <v>101546</v>
      </c>
      <c r="J43" s="54">
        <f>51622.57+120.34+1128.14+1902.53+4015.15</f>
        <v>58788.729999999996</v>
      </c>
      <c r="K43" s="121"/>
      <c r="L43" s="121"/>
    </row>
    <row r="44" spans="2:12" ht="18.75" x14ac:dyDescent="0.3">
      <c r="B44" s="29" t="s">
        <v>71</v>
      </c>
      <c r="C44" s="30"/>
      <c r="D44" s="31"/>
      <c r="E44" s="32"/>
      <c r="F44" s="48" t="s">
        <v>10</v>
      </c>
      <c r="G44" s="114"/>
      <c r="H44" s="55"/>
      <c r="I44" s="55"/>
      <c r="J44" s="54"/>
      <c r="K44" s="121"/>
      <c r="L44" s="121"/>
    </row>
    <row r="45" spans="2:12" x14ac:dyDescent="0.25">
      <c r="B45" s="30"/>
      <c r="C45" s="29" t="s">
        <v>72</v>
      </c>
      <c r="D45" s="31"/>
      <c r="E45" s="32"/>
      <c r="F45" s="48" t="s">
        <v>26</v>
      </c>
      <c r="G45" s="127">
        <f>(17165.72+111722.38+200+0+4817.73+0+1500+1800)/7.5345</f>
        <v>18210.343088459755</v>
      </c>
      <c r="H45" s="55">
        <f>4769.61+22430.37+185.8+3400+384.36+400.16+399.9+401.48+133+491.08</f>
        <v>32995.760000000002</v>
      </c>
      <c r="I45" s="55">
        <f>4769.61+22430.37+185.8+3400+384.36+400.16+399.9+401.48+133+491.08</f>
        <v>32995.760000000002</v>
      </c>
      <c r="J45" s="54">
        <f>3780.15+14485.6+279.56+0+400.16+236.32+375.98+0+491.08</f>
        <v>20048.850000000002</v>
      </c>
      <c r="K45" s="54">
        <f>J45/G45*100</f>
        <v>110.0959487836632</v>
      </c>
      <c r="L45" s="54">
        <f>J45/I45*100</f>
        <v>60.761897892335256</v>
      </c>
    </row>
    <row r="46" spans="2:12" x14ac:dyDescent="0.25">
      <c r="B46" s="30"/>
      <c r="C46" s="30"/>
      <c r="D46" s="33" t="s">
        <v>73</v>
      </c>
      <c r="E46" s="32"/>
      <c r="F46" s="48" t="s">
        <v>27</v>
      </c>
      <c r="G46" s="117"/>
      <c r="H46" s="111"/>
      <c r="I46" s="111"/>
      <c r="J46" s="54">
        <f>159.27+3269.06+236.32+57.1+52.38+79.63+187.14</f>
        <v>4040.9</v>
      </c>
      <c r="K46" s="121"/>
      <c r="L46" s="121"/>
    </row>
    <row r="47" spans="2:12" x14ac:dyDescent="0.25">
      <c r="B47" s="30"/>
      <c r="C47" s="30"/>
      <c r="D47" s="33" t="s">
        <v>74</v>
      </c>
      <c r="E47" s="32"/>
      <c r="F47" s="48" t="s">
        <v>75</v>
      </c>
      <c r="G47" s="117"/>
      <c r="H47" s="111"/>
      <c r="I47" s="111"/>
      <c r="J47" s="54">
        <f>66.36+265.45+0+1485.6+3269.06+41.53+238.03</f>
        <v>5366.0299999999988</v>
      </c>
      <c r="K47" s="121"/>
      <c r="L47" s="121"/>
    </row>
    <row r="48" spans="2:12" x14ac:dyDescent="0.25">
      <c r="B48" s="30"/>
      <c r="C48" s="30"/>
      <c r="D48" s="33" t="s">
        <v>76</v>
      </c>
      <c r="E48" s="32"/>
      <c r="F48" s="48" t="s">
        <v>77</v>
      </c>
      <c r="G48" s="117"/>
      <c r="H48" s="111">
        <v>0</v>
      </c>
      <c r="I48" s="111">
        <v>0</v>
      </c>
      <c r="J48" s="54">
        <f>511.09+0+39.82+93.57+186.87+79.63</f>
        <v>910.98</v>
      </c>
      <c r="K48" s="121"/>
      <c r="L48" s="121"/>
    </row>
    <row r="49" spans="2:12" x14ac:dyDescent="0.25">
      <c r="B49" s="34"/>
      <c r="C49" s="30"/>
      <c r="D49" s="31">
        <v>3214</v>
      </c>
      <c r="E49" s="35"/>
      <c r="F49" s="48" t="s">
        <v>78</v>
      </c>
      <c r="G49" s="118"/>
      <c r="H49" s="111"/>
      <c r="I49" s="111"/>
      <c r="J49" s="121"/>
      <c r="K49" s="121"/>
      <c r="L49" s="121"/>
    </row>
    <row r="50" spans="2:12" x14ac:dyDescent="0.25">
      <c r="B50" s="30"/>
      <c r="C50" s="29" t="s">
        <v>79</v>
      </c>
      <c r="D50" s="31"/>
      <c r="E50" s="32"/>
      <c r="F50" s="48" t="s">
        <v>80</v>
      </c>
      <c r="G50" s="127">
        <f>(25487.67+36531.06+247837.5+0+2802.87)/7.5345</f>
        <v>41496.993828389401</v>
      </c>
      <c r="H50" s="55">
        <f>7299.74+23890.11+58404.08+533.55+330.48+133.71+132.72+1593+125+0</f>
        <v>92442.39</v>
      </c>
      <c r="I50" s="55">
        <f>7299.74+23890.11+58404.08+533.55+330.48+133.71+132.72+1593+125+0</f>
        <v>92442.39</v>
      </c>
      <c r="J50" s="54">
        <f>J51+J52+J53+J54+J55+J56</f>
        <v>59440.38</v>
      </c>
      <c r="K50" s="54">
        <f>J50/G50*100</f>
        <v>143.24020734083865</v>
      </c>
      <c r="L50" s="54">
        <f>J50/I50*100</f>
        <v>64.299916953683251</v>
      </c>
    </row>
    <row r="51" spans="2:12" x14ac:dyDescent="0.25">
      <c r="B51" s="30"/>
      <c r="C51" s="30"/>
      <c r="D51" s="33" t="s">
        <v>81</v>
      </c>
      <c r="E51" s="32"/>
      <c r="F51" s="48" t="s">
        <v>82</v>
      </c>
      <c r="G51" s="117"/>
      <c r="H51" s="111"/>
      <c r="I51" s="111"/>
      <c r="J51" s="54">
        <f>0+132.72+36.3+174.54+97.43+205.62+121.68+547.19</f>
        <v>1315.48</v>
      </c>
      <c r="K51" s="121"/>
      <c r="L51" s="121"/>
    </row>
    <row r="52" spans="2:12" x14ac:dyDescent="0.25">
      <c r="B52" s="30"/>
      <c r="C52" s="30"/>
      <c r="D52" s="33" t="s">
        <v>83</v>
      </c>
      <c r="E52" s="32"/>
      <c r="F52" s="48" t="s">
        <v>84</v>
      </c>
      <c r="G52" s="117"/>
      <c r="H52" s="55"/>
      <c r="I52" s="55"/>
      <c r="J52" s="54">
        <f>9278.55+3407.32+184.44+24793.86</f>
        <v>37664.17</v>
      </c>
      <c r="K52" s="121"/>
      <c r="L52" s="121"/>
    </row>
    <row r="53" spans="2:12" x14ac:dyDescent="0.25">
      <c r="B53" s="30"/>
      <c r="C53" s="30"/>
      <c r="D53" s="33" t="s">
        <v>85</v>
      </c>
      <c r="E53" s="32"/>
      <c r="F53" s="48" t="s">
        <v>86</v>
      </c>
      <c r="G53" s="117"/>
      <c r="H53" s="111"/>
      <c r="I53" s="111"/>
      <c r="J53" s="54">
        <f>19473.59+270.55</f>
        <v>19744.14</v>
      </c>
      <c r="K53" s="121"/>
      <c r="L53" s="121"/>
    </row>
    <row r="54" spans="2:12" x14ac:dyDescent="0.25">
      <c r="B54" s="30"/>
      <c r="C54" s="30"/>
      <c r="D54" s="33" t="s">
        <v>87</v>
      </c>
      <c r="E54" s="32"/>
      <c r="F54" s="48" t="s">
        <v>88</v>
      </c>
      <c r="G54" s="117"/>
      <c r="H54" s="55"/>
      <c r="I54" s="55"/>
      <c r="J54" s="54">
        <f>282.12+265.45</f>
        <v>547.56999999999994</v>
      </c>
      <c r="K54" s="121"/>
      <c r="L54" s="121"/>
    </row>
    <row r="55" spans="2:12" x14ac:dyDescent="0.25">
      <c r="B55" s="30"/>
      <c r="C55" s="30"/>
      <c r="D55" s="33" t="s">
        <v>89</v>
      </c>
      <c r="E55" s="32"/>
      <c r="F55" s="48" t="s">
        <v>90</v>
      </c>
      <c r="G55" s="117"/>
      <c r="H55" s="111"/>
      <c r="I55" s="111"/>
      <c r="J55" s="121">
        <f>0</f>
        <v>0</v>
      </c>
      <c r="K55" s="121"/>
      <c r="L55" s="121"/>
    </row>
    <row r="56" spans="2:12" x14ac:dyDescent="0.25">
      <c r="B56" s="30"/>
      <c r="C56" s="30"/>
      <c r="D56" s="36" t="s">
        <v>91</v>
      </c>
      <c r="E56" s="37"/>
      <c r="F56" s="48" t="s">
        <v>92</v>
      </c>
      <c r="G56" s="117"/>
      <c r="H56" s="111"/>
      <c r="I56" s="111"/>
      <c r="J56" s="54">
        <f>169.02</f>
        <v>169.02</v>
      </c>
      <c r="K56" s="121"/>
      <c r="L56" s="121"/>
    </row>
    <row r="57" spans="2:12" x14ac:dyDescent="0.25">
      <c r="B57" s="30"/>
      <c r="C57" s="29" t="s">
        <v>93</v>
      </c>
      <c r="D57" s="31"/>
      <c r="E57" s="32"/>
      <c r="F57" s="48" t="s">
        <v>94</v>
      </c>
      <c r="G57" s="127">
        <f>(49088.44+8859.36+10447.5+2738.85+0+2981)/7.5345</f>
        <v>9836.770854071272</v>
      </c>
      <c r="H57" s="55">
        <f>12741.72+4741+132.72+2442.12+1235+3848.97+597.25+333.13+260.1+250+66.36</f>
        <v>26648.370000000003</v>
      </c>
      <c r="I57" s="55">
        <f>12741.72+4741+132.72+2442.12+1235+3848.97+597.25+333.13+260.1+250+66.36</f>
        <v>26648.370000000003</v>
      </c>
      <c r="J57" s="54">
        <f>J58+J59+J60+J61+J62+J63+J64+J65+J66</f>
        <v>10883.23</v>
      </c>
      <c r="K57" s="54">
        <f>J57/G57*100</f>
        <v>110.63823851803578</v>
      </c>
      <c r="L57" s="54">
        <f>J57/I57*100</f>
        <v>40.840133936897452</v>
      </c>
    </row>
    <row r="58" spans="2:12" x14ac:dyDescent="0.25">
      <c r="B58" s="30"/>
      <c r="C58" s="30"/>
      <c r="D58" s="33" t="s">
        <v>95</v>
      </c>
      <c r="E58" s="32"/>
      <c r="F58" s="48" t="s">
        <v>96</v>
      </c>
      <c r="G58" s="117"/>
      <c r="H58" s="111"/>
      <c r="I58" s="111"/>
      <c r="J58" s="54">
        <f>663.61+132.72+66.36</f>
        <v>862.69</v>
      </c>
      <c r="K58" s="121"/>
      <c r="L58" s="121"/>
    </row>
    <row r="59" spans="2:12" x14ac:dyDescent="0.25">
      <c r="B59" s="30"/>
      <c r="C59" s="30"/>
      <c r="D59" s="33" t="s">
        <v>97</v>
      </c>
      <c r="E59" s="32"/>
      <c r="F59" s="48" t="s">
        <v>98</v>
      </c>
      <c r="G59" s="117"/>
      <c r="H59" s="111"/>
      <c r="I59" s="111"/>
      <c r="J59" s="54">
        <f>573.49+1061.78</f>
        <v>1635.27</v>
      </c>
      <c r="K59" s="121"/>
      <c r="L59" s="121"/>
    </row>
    <row r="60" spans="2:12" x14ac:dyDescent="0.25">
      <c r="B60" s="30"/>
      <c r="C60" s="30"/>
      <c r="D60" s="33" t="s">
        <v>99</v>
      </c>
      <c r="E60" s="32"/>
      <c r="F60" s="48" t="s">
        <v>100</v>
      </c>
      <c r="G60" s="117"/>
      <c r="H60" s="111">
        <v>0</v>
      </c>
      <c r="I60" s="111">
        <v>0</v>
      </c>
      <c r="J60" s="54">
        <v>0</v>
      </c>
      <c r="K60" s="121"/>
      <c r="L60" s="121"/>
    </row>
    <row r="61" spans="2:12" x14ac:dyDescent="0.25">
      <c r="B61" s="30"/>
      <c r="C61" s="30"/>
      <c r="D61" s="33" t="s">
        <v>101</v>
      </c>
      <c r="E61" s="32"/>
      <c r="F61" s="48" t="s">
        <v>102</v>
      </c>
      <c r="G61" s="117"/>
      <c r="H61" s="111"/>
      <c r="I61" s="111"/>
      <c r="J61" s="54">
        <f>1866.54</f>
        <v>1866.54</v>
      </c>
      <c r="K61" s="121"/>
      <c r="L61" s="121"/>
    </row>
    <row r="62" spans="2:12" x14ac:dyDescent="0.25">
      <c r="B62" s="30"/>
      <c r="C62" s="30"/>
      <c r="D62" s="33" t="s">
        <v>103</v>
      </c>
      <c r="E62" s="32"/>
      <c r="F62" s="48" t="s">
        <v>104</v>
      </c>
      <c r="G62" s="117"/>
      <c r="H62" s="111"/>
      <c r="I62" s="111"/>
      <c r="J62" s="54">
        <f>1408.48</f>
        <v>1408.48</v>
      </c>
      <c r="K62" s="121"/>
      <c r="L62" s="121"/>
    </row>
    <row r="63" spans="2:12" x14ac:dyDescent="0.25">
      <c r="B63" s="30"/>
      <c r="C63" s="30"/>
      <c r="D63" s="33" t="s">
        <v>105</v>
      </c>
      <c r="E63" s="32"/>
      <c r="F63" s="48" t="s">
        <v>106</v>
      </c>
      <c r="G63" s="117"/>
      <c r="H63" s="111">
        <v>0</v>
      </c>
      <c r="I63" s="111">
        <v>0</v>
      </c>
      <c r="J63" s="54">
        <f>0+444.02</f>
        <v>444.02</v>
      </c>
      <c r="K63" s="121"/>
      <c r="L63" s="121"/>
    </row>
    <row r="64" spans="2:12" x14ac:dyDescent="0.25">
      <c r="B64" s="30"/>
      <c r="C64" s="30"/>
      <c r="D64" s="33" t="s">
        <v>107</v>
      </c>
      <c r="E64" s="32"/>
      <c r="F64" s="48" t="s">
        <v>108</v>
      </c>
      <c r="G64" s="117"/>
      <c r="H64" s="111">
        <v>0</v>
      </c>
      <c r="I64" s="111">
        <v>0</v>
      </c>
      <c r="J64" s="54">
        <f>0+0+672.96+318.87+0+0</f>
        <v>991.83</v>
      </c>
      <c r="K64" s="121"/>
      <c r="L64" s="121"/>
    </row>
    <row r="65" spans="2:12" x14ac:dyDescent="0.25">
      <c r="B65" s="30"/>
      <c r="C65" s="30"/>
      <c r="D65" s="33" t="s">
        <v>109</v>
      </c>
      <c r="E65" s="32"/>
      <c r="F65" s="48" t="s">
        <v>110</v>
      </c>
      <c r="G65" s="117"/>
      <c r="H65" s="111"/>
      <c r="I65" s="111"/>
      <c r="J65" s="54">
        <f>2791.65+132.75</f>
        <v>2924.4</v>
      </c>
      <c r="K65" s="121"/>
      <c r="L65" s="121"/>
    </row>
    <row r="66" spans="2:12" x14ac:dyDescent="0.25">
      <c r="B66" s="30"/>
      <c r="C66" s="30"/>
      <c r="D66" s="33" t="s">
        <v>111</v>
      </c>
      <c r="E66" s="32"/>
      <c r="F66" s="48" t="s">
        <v>112</v>
      </c>
      <c r="G66" s="117"/>
      <c r="H66" s="111"/>
      <c r="I66" s="111"/>
      <c r="J66" s="54">
        <f>750+0</f>
        <v>750</v>
      </c>
      <c r="K66" s="121"/>
      <c r="L66" s="121"/>
    </row>
    <row r="67" spans="2:12" x14ac:dyDescent="0.25">
      <c r="B67" s="30"/>
      <c r="C67" s="30">
        <v>324</v>
      </c>
      <c r="D67" s="33"/>
      <c r="E67" s="32"/>
      <c r="F67" s="48" t="s">
        <v>344</v>
      </c>
      <c r="G67" s="117">
        <v>0</v>
      </c>
      <c r="H67" s="55">
        <f>331.8+599.52</f>
        <v>931.31999999999994</v>
      </c>
      <c r="I67" s="55">
        <f>331.8+599.52</f>
        <v>931.31999999999994</v>
      </c>
      <c r="J67" s="54">
        <v>0</v>
      </c>
      <c r="K67" s="54">
        <v>0</v>
      </c>
      <c r="L67" s="54">
        <v>0</v>
      </c>
    </row>
    <row r="68" spans="2:12" x14ac:dyDescent="0.25">
      <c r="B68" s="30"/>
      <c r="C68" s="30"/>
      <c r="D68" s="33">
        <v>3241</v>
      </c>
      <c r="E68" s="32"/>
      <c r="F68" s="48" t="s">
        <v>344</v>
      </c>
      <c r="G68" s="117"/>
      <c r="H68" s="55">
        <f>331.8+599.52</f>
        <v>931.31999999999994</v>
      </c>
      <c r="I68" s="55">
        <f>599.52+331.8</f>
        <v>931.31999999999994</v>
      </c>
      <c r="J68" s="54">
        <v>0</v>
      </c>
      <c r="K68" s="121"/>
      <c r="L68" s="121"/>
    </row>
    <row r="69" spans="2:12" x14ac:dyDescent="0.25">
      <c r="B69" s="30"/>
      <c r="C69" s="30">
        <v>329</v>
      </c>
      <c r="D69" s="33"/>
      <c r="E69" s="32"/>
      <c r="F69" s="48" t="s">
        <v>114</v>
      </c>
      <c r="G69" s="127">
        <f>(445.98+6737.5+4338+3000+4000)/7.5345</f>
        <v>2458.2228415953277</v>
      </c>
      <c r="H69" s="55">
        <f>238.93+597+2919.91+1127.89+319.23+660+464.84+378.52+600+530.92</f>
        <v>7837.2400000000016</v>
      </c>
      <c r="I69" s="55">
        <f>238.93+597+2919.91+1127.89+319.23+660+464.84+378.52+600+530.92</f>
        <v>7837.2400000000016</v>
      </c>
      <c r="J69" s="54">
        <f>J70+J71+J72+J73+J74+J75</f>
        <v>3275.6499999999996</v>
      </c>
      <c r="K69" s="54">
        <f>J69/G69*100</f>
        <v>133.25276881221154</v>
      </c>
      <c r="L69" s="54">
        <f>J69/I69*100</f>
        <v>41.7959638852453</v>
      </c>
    </row>
    <row r="70" spans="2:12" x14ac:dyDescent="0.25">
      <c r="B70" s="30"/>
      <c r="C70" s="30"/>
      <c r="D70" s="33" t="s">
        <v>115</v>
      </c>
      <c r="E70" s="32"/>
      <c r="F70" s="48" t="s">
        <v>116</v>
      </c>
      <c r="G70" s="117"/>
      <c r="H70" s="111">
        <v>0</v>
      </c>
      <c r="I70" s="111">
        <v>0</v>
      </c>
      <c r="J70" s="54">
        <f>0+576.04</f>
        <v>576.04</v>
      </c>
      <c r="K70" s="121"/>
      <c r="L70" s="121"/>
    </row>
    <row r="71" spans="2:12" x14ac:dyDescent="0.25">
      <c r="B71" s="30"/>
      <c r="C71" s="30"/>
      <c r="D71" s="33" t="s">
        <v>117</v>
      </c>
      <c r="E71" s="32"/>
      <c r="F71" s="48" t="s">
        <v>118</v>
      </c>
      <c r="G71" s="117"/>
      <c r="H71" s="111"/>
      <c r="I71" s="111"/>
      <c r="J71" s="121">
        <v>0</v>
      </c>
      <c r="K71" s="121"/>
      <c r="L71" s="121"/>
    </row>
    <row r="72" spans="2:12" x14ac:dyDescent="0.25">
      <c r="B72" s="30"/>
      <c r="C72" s="30"/>
      <c r="D72" s="33" t="s">
        <v>119</v>
      </c>
      <c r="E72" s="32"/>
      <c r="F72" s="48" t="s">
        <v>120</v>
      </c>
      <c r="G72" s="119"/>
      <c r="H72" s="111"/>
      <c r="I72" s="111"/>
      <c r="J72" s="54">
        <f>55+170.68+360.21</f>
        <v>585.89</v>
      </c>
      <c r="K72" s="121"/>
      <c r="L72" s="121"/>
    </row>
    <row r="73" spans="2:12" x14ac:dyDescent="0.25">
      <c r="B73" s="34"/>
      <c r="C73" s="30"/>
      <c r="D73" s="31">
        <v>3295</v>
      </c>
      <c r="E73" s="37"/>
      <c r="F73" s="49" t="s">
        <v>121</v>
      </c>
      <c r="G73" s="118"/>
      <c r="H73" s="111"/>
      <c r="I73" s="111"/>
      <c r="J73" s="54">
        <f>0+700</f>
        <v>700</v>
      </c>
      <c r="K73" s="121"/>
      <c r="L73" s="121"/>
    </row>
    <row r="74" spans="2:12" x14ac:dyDescent="0.25">
      <c r="B74" s="34"/>
      <c r="C74" s="30"/>
      <c r="D74" s="31">
        <v>3296</v>
      </c>
      <c r="E74" s="35"/>
      <c r="F74" s="50" t="s">
        <v>122</v>
      </c>
      <c r="G74" s="120"/>
      <c r="H74" s="111"/>
      <c r="I74" s="111"/>
      <c r="J74" s="54">
        <f>0</f>
        <v>0</v>
      </c>
      <c r="K74" s="121"/>
      <c r="L74" s="121"/>
    </row>
    <row r="75" spans="2:12" x14ac:dyDescent="0.25">
      <c r="B75" s="34"/>
      <c r="C75" s="30"/>
      <c r="D75" s="33" t="s">
        <v>123</v>
      </c>
      <c r="E75" s="32"/>
      <c r="F75" s="48" t="s">
        <v>114</v>
      </c>
      <c r="G75" s="118"/>
      <c r="H75" s="111"/>
      <c r="I75" s="111"/>
      <c r="J75" s="54">
        <f>0+0+200+535+267.96+110.56+0+300.2</f>
        <v>1413.72</v>
      </c>
      <c r="K75" s="121"/>
      <c r="L75" s="121"/>
    </row>
    <row r="76" spans="2:12" ht="18.75" x14ac:dyDescent="0.3">
      <c r="B76" s="29" t="s">
        <v>124</v>
      </c>
      <c r="C76" s="30"/>
      <c r="D76" s="31"/>
      <c r="E76" s="32"/>
      <c r="F76" s="48" t="s">
        <v>125</v>
      </c>
      <c r="G76" s="114"/>
      <c r="H76" s="111"/>
      <c r="I76" s="111"/>
      <c r="J76" s="121"/>
      <c r="K76" s="121"/>
      <c r="L76" s="121"/>
    </row>
    <row r="77" spans="2:12" x14ac:dyDescent="0.25">
      <c r="B77" s="30"/>
      <c r="C77" s="29" t="s">
        <v>126</v>
      </c>
      <c r="D77" s="31"/>
      <c r="E77" s="32"/>
      <c r="F77" s="48" t="s">
        <v>127</v>
      </c>
      <c r="G77" s="127">
        <f>3380.19/7.5345</f>
        <v>448.62830977503484</v>
      </c>
      <c r="H77" s="55">
        <f>796+664+160</f>
        <v>1620</v>
      </c>
      <c r="I77" s="55">
        <f>I78+I79</f>
        <v>1620</v>
      </c>
      <c r="J77" s="54">
        <f>J78+J79</f>
        <v>541.28</v>
      </c>
      <c r="K77" s="54">
        <f>J77/G77*100</f>
        <v>120.65221659137504</v>
      </c>
      <c r="L77" s="54">
        <f>J77/I77*100</f>
        <v>33.412345679012347</v>
      </c>
    </row>
    <row r="78" spans="2:12" x14ac:dyDescent="0.25">
      <c r="B78" s="30"/>
      <c r="C78" s="30"/>
      <c r="D78" s="33" t="s">
        <v>128</v>
      </c>
      <c r="E78" s="32"/>
      <c r="F78" s="48" t="s">
        <v>129</v>
      </c>
      <c r="G78" s="117"/>
      <c r="H78" s="55">
        <f>796+160</f>
        <v>956</v>
      </c>
      <c r="I78" s="55">
        <f>796+160</f>
        <v>956</v>
      </c>
      <c r="J78" s="54">
        <f>381.28+160</f>
        <v>541.28</v>
      </c>
      <c r="K78" s="121"/>
      <c r="L78" s="121"/>
    </row>
    <row r="79" spans="2:12" x14ac:dyDescent="0.25">
      <c r="B79" s="30"/>
      <c r="C79" s="30"/>
      <c r="D79" s="33">
        <v>3433</v>
      </c>
      <c r="E79" s="32"/>
      <c r="F79" s="48" t="s">
        <v>165</v>
      </c>
      <c r="G79" s="117"/>
      <c r="H79" s="55">
        <v>664</v>
      </c>
      <c r="I79" s="55">
        <v>664</v>
      </c>
      <c r="J79" s="121">
        <v>0</v>
      </c>
      <c r="K79" s="121"/>
      <c r="L79" s="121"/>
    </row>
    <row r="80" spans="2:12" ht="10.5" customHeight="1" x14ac:dyDescent="0.25">
      <c r="B80" s="30"/>
      <c r="C80" s="29" t="s">
        <v>131</v>
      </c>
      <c r="D80" s="31"/>
      <c r="E80" s="32"/>
      <c r="F80" s="48" t="s">
        <v>132</v>
      </c>
      <c r="G80" s="127">
        <f>216600/7.5345</f>
        <v>28747.760302608003</v>
      </c>
      <c r="H80" s="55">
        <v>71491</v>
      </c>
      <c r="I80" s="55">
        <v>71491</v>
      </c>
      <c r="J80" s="54">
        <f>J81+J82</f>
        <v>40511.800000000003</v>
      </c>
      <c r="K80" s="54">
        <f>J80/G80*100</f>
        <v>140.92158684210528</v>
      </c>
      <c r="L80" s="54">
        <f>J80/I80*100</f>
        <v>56.666993048075987</v>
      </c>
    </row>
    <row r="81" spans="2:12" x14ac:dyDescent="0.25">
      <c r="B81" s="30"/>
      <c r="C81" s="30"/>
      <c r="D81" s="33" t="s">
        <v>133</v>
      </c>
      <c r="E81" s="32"/>
      <c r="F81" s="48" t="s">
        <v>134</v>
      </c>
      <c r="G81" s="127">
        <v>28748</v>
      </c>
      <c r="H81" s="55">
        <v>71491</v>
      </c>
      <c r="I81" s="55">
        <v>71491</v>
      </c>
      <c r="J81" s="54">
        <f>40511.8</f>
        <v>40511.800000000003</v>
      </c>
      <c r="K81" s="54">
        <v>141</v>
      </c>
      <c r="L81" s="54">
        <v>57</v>
      </c>
    </row>
    <row r="82" spans="2:12" x14ac:dyDescent="0.25">
      <c r="B82" s="34"/>
      <c r="C82" s="30"/>
      <c r="D82" s="31">
        <v>3723</v>
      </c>
      <c r="E82" s="35"/>
      <c r="F82" s="48" t="s">
        <v>135</v>
      </c>
      <c r="G82" s="118"/>
      <c r="H82" s="111"/>
      <c r="I82" s="111"/>
      <c r="J82" s="121"/>
      <c r="K82" s="121"/>
      <c r="L82" s="121"/>
    </row>
    <row r="83" spans="2:12" ht="18.75" x14ac:dyDescent="0.3">
      <c r="B83" s="29" t="s">
        <v>136</v>
      </c>
      <c r="C83" s="30"/>
      <c r="D83" s="31"/>
      <c r="E83" s="32"/>
      <c r="F83" s="48" t="s">
        <v>137</v>
      </c>
      <c r="G83" s="114"/>
      <c r="H83" s="111"/>
      <c r="I83" s="111"/>
      <c r="J83" s="121"/>
      <c r="K83" s="121"/>
      <c r="L83" s="121"/>
    </row>
    <row r="84" spans="2:12" ht="15.75" x14ac:dyDescent="0.25">
      <c r="B84" s="30"/>
      <c r="C84" s="29" t="s">
        <v>138</v>
      </c>
      <c r="D84" s="31"/>
      <c r="E84" s="32"/>
      <c r="F84" s="48" t="s">
        <v>57</v>
      </c>
      <c r="G84" s="115"/>
      <c r="H84" s="55">
        <v>0</v>
      </c>
      <c r="I84" s="55">
        <v>0</v>
      </c>
      <c r="J84" s="54">
        <f>J85</f>
        <v>472.76</v>
      </c>
      <c r="K84" s="121"/>
      <c r="L84" s="121"/>
    </row>
    <row r="85" spans="2:12" x14ac:dyDescent="0.25">
      <c r="B85" s="30"/>
      <c r="C85" s="30"/>
      <c r="D85" s="33">
        <v>3812</v>
      </c>
      <c r="E85" s="32"/>
      <c r="F85" s="48" t="s">
        <v>140</v>
      </c>
      <c r="G85" s="117"/>
      <c r="H85" s="55">
        <v>0</v>
      </c>
      <c r="I85" s="55">
        <v>0</v>
      </c>
      <c r="J85" s="54">
        <f>472.76</f>
        <v>472.76</v>
      </c>
      <c r="K85" s="121"/>
      <c r="L85" s="121"/>
    </row>
    <row r="86" spans="2:12" ht="15.75" x14ac:dyDescent="0.25">
      <c r="B86" s="38" t="s">
        <v>141</v>
      </c>
      <c r="C86" s="39"/>
      <c r="D86" s="39"/>
      <c r="E86" s="39"/>
      <c r="F86" s="51" t="s">
        <v>6</v>
      </c>
      <c r="G86" s="127">
        <v>691</v>
      </c>
      <c r="H86" s="56">
        <f>H87+H90+H99+H101</f>
        <v>15008</v>
      </c>
      <c r="I86" s="56">
        <f>I87+I90+I99+I101</f>
        <v>15008</v>
      </c>
      <c r="J86" s="56">
        <f>J87+J90+J99+J101</f>
        <v>28845.25</v>
      </c>
      <c r="K86" s="54">
        <f t="shared" ref="K86:K103" si="5">+J86/G86*100</f>
        <v>4174.4211287988419</v>
      </c>
      <c r="L86" s="54">
        <f t="shared" ref="L86:L103" si="6">+J86/I86*100</f>
        <v>192.19916044776119</v>
      </c>
    </row>
    <row r="87" spans="2:12" ht="15.75" x14ac:dyDescent="0.25">
      <c r="B87" s="38"/>
      <c r="C87" s="124">
        <v>412</v>
      </c>
      <c r="D87" s="124"/>
      <c r="E87" s="124"/>
      <c r="F87" s="124" t="s">
        <v>340</v>
      </c>
      <c r="G87" s="126">
        <v>0</v>
      </c>
      <c r="H87" s="56">
        <f>H88</f>
        <v>10715</v>
      </c>
      <c r="I87" s="56">
        <f>I88</f>
        <v>10715</v>
      </c>
      <c r="J87" s="56">
        <v>0</v>
      </c>
      <c r="K87" s="54">
        <v>0</v>
      </c>
      <c r="L87" s="54">
        <v>0</v>
      </c>
    </row>
    <row r="88" spans="2:12" ht="15.75" x14ac:dyDescent="0.25">
      <c r="B88" s="38"/>
      <c r="C88" s="124"/>
      <c r="D88" s="124">
        <v>4126</v>
      </c>
      <c r="E88" s="124"/>
      <c r="F88" s="124" t="s">
        <v>341</v>
      </c>
      <c r="G88" s="115"/>
      <c r="H88" s="56">
        <v>10715</v>
      </c>
      <c r="I88" s="56">
        <v>10715</v>
      </c>
      <c r="J88" s="56">
        <v>0</v>
      </c>
      <c r="K88" s="54"/>
      <c r="L88" s="54"/>
    </row>
    <row r="89" spans="2:12" x14ac:dyDescent="0.25">
      <c r="B89" s="40" t="s">
        <v>142</v>
      </c>
      <c r="C89" s="41"/>
      <c r="D89" s="41"/>
      <c r="E89" s="41"/>
      <c r="F89" s="52" t="s">
        <v>143</v>
      </c>
      <c r="G89" s="118"/>
      <c r="H89" s="22"/>
      <c r="I89" s="22"/>
      <c r="J89" s="24"/>
      <c r="K89" s="54"/>
      <c r="L89" s="54"/>
    </row>
    <row r="90" spans="2:12" x14ac:dyDescent="0.25">
      <c r="B90" s="41"/>
      <c r="C90" s="40" t="s">
        <v>144</v>
      </c>
      <c r="D90" s="41"/>
      <c r="E90" s="41"/>
      <c r="F90" s="52" t="s">
        <v>145</v>
      </c>
      <c r="G90" s="54">
        <v>0</v>
      </c>
      <c r="H90" s="22">
        <f>600+200+0</f>
        <v>800</v>
      </c>
      <c r="I90" s="22">
        <f>I91+I92+I93+I94+I95+I96+I97+I98</f>
        <v>800</v>
      </c>
      <c r="J90" s="24">
        <f>J91</f>
        <v>26544.560000000001</v>
      </c>
      <c r="K90" s="54"/>
      <c r="L90" s="54"/>
    </row>
    <row r="91" spans="2:12" x14ac:dyDescent="0.25">
      <c r="B91" s="41"/>
      <c r="C91" s="41"/>
      <c r="D91" s="40" t="s">
        <v>146</v>
      </c>
      <c r="E91" s="41"/>
      <c r="F91" s="52" t="s">
        <v>147</v>
      </c>
      <c r="G91" s="121"/>
      <c r="H91" s="22">
        <f>600</f>
        <v>600</v>
      </c>
      <c r="I91" s="22">
        <v>600</v>
      </c>
      <c r="J91" s="24">
        <f>26544.56</f>
        <v>26544.560000000001</v>
      </c>
      <c r="K91" s="54"/>
      <c r="L91" s="54"/>
    </row>
    <row r="92" spans="2:12" x14ac:dyDescent="0.25">
      <c r="B92" s="41"/>
      <c r="C92" s="41"/>
      <c r="D92" s="40" t="s">
        <v>148</v>
      </c>
      <c r="E92" s="41"/>
      <c r="F92" s="52" t="s">
        <v>149</v>
      </c>
      <c r="G92" s="121"/>
      <c r="H92" s="22"/>
      <c r="I92" s="22"/>
      <c r="J92" s="24"/>
      <c r="K92" s="54"/>
      <c r="L92" s="54"/>
    </row>
    <row r="93" spans="2:12" x14ac:dyDescent="0.25">
      <c r="B93" s="41"/>
      <c r="C93" s="41"/>
      <c r="D93" s="40" t="s">
        <v>150</v>
      </c>
      <c r="E93" s="41"/>
      <c r="F93" s="52" t="s">
        <v>151</v>
      </c>
      <c r="G93" s="121"/>
      <c r="H93" s="22"/>
      <c r="I93" s="22"/>
      <c r="J93" s="24"/>
      <c r="K93" s="54"/>
      <c r="L93" s="54"/>
    </row>
    <row r="94" spans="2:12" x14ac:dyDescent="0.25">
      <c r="B94" s="41"/>
      <c r="C94" s="41"/>
      <c r="D94" s="40" t="s">
        <v>152</v>
      </c>
      <c r="E94" s="41"/>
      <c r="F94" s="52" t="s">
        <v>153</v>
      </c>
      <c r="G94" s="121"/>
      <c r="H94" s="22"/>
      <c r="I94" s="22"/>
      <c r="J94" s="24"/>
      <c r="K94" s="54"/>
      <c r="L94" s="54"/>
    </row>
    <row r="95" spans="2:12" x14ac:dyDescent="0.25">
      <c r="B95" s="41"/>
      <c r="C95" s="41"/>
      <c r="D95" s="40" t="s">
        <v>154</v>
      </c>
      <c r="E95" s="41"/>
      <c r="F95" s="52" t="s">
        <v>155</v>
      </c>
      <c r="G95" s="121"/>
      <c r="H95" s="22"/>
      <c r="I95" s="22"/>
      <c r="J95" s="24"/>
      <c r="K95" s="54"/>
      <c r="L95" s="54"/>
    </row>
    <row r="96" spans="2:12" x14ac:dyDescent="0.25">
      <c r="B96" s="41"/>
      <c r="C96" s="41"/>
      <c r="D96" s="40" t="s">
        <v>156</v>
      </c>
      <c r="E96" s="41"/>
      <c r="F96" s="52" t="s">
        <v>157</v>
      </c>
      <c r="G96" s="121"/>
      <c r="H96" s="22"/>
      <c r="I96" s="22"/>
      <c r="J96" s="24"/>
      <c r="K96" s="54"/>
      <c r="L96" s="54"/>
    </row>
    <row r="97" spans="2:12" x14ac:dyDescent="0.25">
      <c r="B97" s="41"/>
      <c r="C97" s="41"/>
      <c r="D97" s="40" t="s">
        <v>158</v>
      </c>
      <c r="E97" s="41"/>
      <c r="F97" s="52" t="s">
        <v>159</v>
      </c>
      <c r="G97" s="121"/>
      <c r="H97" s="22">
        <v>200</v>
      </c>
      <c r="I97" s="22">
        <v>200</v>
      </c>
      <c r="J97" s="24"/>
      <c r="K97" s="54"/>
      <c r="L97" s="54"/>
    </row>
    <row r="98" spans="2:12" x14ac:dyDescent="0.25">
      <c r="B98" s="43"/>
      <c r="C98" s="43"/>
      <c r="D98" s="44">
        <v>4228</v>
      </c>
      <c r="E98" s="40"/>
      <c r="F98" s="52" t="s">
        <v>160</v>
      </c>
      <c r="G98" s="121"/>
      <c r="H98" s="22"/>
      <c r="I98" s="22"/>
      <c r="J98" s="24"/>
      <c r="K98" s="54"/>
      <c r="L98" s="54"/>
    </row>
    <row r="99" spans="2:12" x14ac:dyDescent="0.25">
      <c r="B99" s="42"/>
      <c r="C99" s="41">
        <v>424</v>
      </c>
      <c r="D99" s="41"/>
      <c r="E99" s="40"/>
      <c r="F99" s="52" t="s">
        <v>161</v>
      </c>
      <c r="G99" s="54">
        <f>5209.67/7.5345</f>
        <v>691.44203331342487</v>
      </c>
      <c r="H99" s="22">
        <f>270+133+3090</f>
        <v>3493</v>
      </c>
      <c r="I99" s="22">
        <f>I100</f>
        <v>3493</v>
      </c>
      <c r="J99" s="24">
        <f>J100</f>
        <v>2300.69</v>
      </c>
      <c r="K99" s="54">
        <f>J99/G99*100</f>
        <v>332.73794319025967</v>
      </c>
      <c r="L99" s="54">
        <f>J99/I99*100</f>
        <v>65.865731462925865</v>
      </c>
    </row>
    <row r="100" spans="2:12" x14ac:dyDescent="0.25">
      <c r="B100" s="41"/>
      <c r="C100" s="41"/>
      <c r="D100" s="45">
        <v>4241</v>
      </c>
      <c r="E100" s="41"/>
      <c r="F100" s="53" t="s">
        <v>162</v>
      </c>
      <c r="G100" s="54">
        <v>691</v>
      </c>
      <c r="H100" s="22">
        <f>3090+270+133</f>
        <v>3493</v>
      </c>
      <c r="I100" s="22">
        <f>3090+133+270</f>
        <v>3493</v>
      </c>
      <c r="J100" s="24">
        <f>2300.69</f>
        <v>2300.69</v>
      </c>
      <c r="K100" s="54">
        <f t="shared" si="5"/>
        <v>332.95079594790155</v>
      </c>
      <c r="L100" s="54">
        <f t="shared" si="6"/>
        <v>65.865731462925865</v>
      </c>
    </row>
    <row r="101" spans="2:12" ht="15.75" x14ac:dyDescent="0.25">
      <c r="B101" s="41"/>
      <c r="C101" s="40">
        <v>426</v>
      </c>
      <c r="D101" s="41"/>
      <c r="E101" s="41"/>
      <c r="F101" s="52" t="s">
        <v>163</v>
      </c>
      <c r="G101" s="122"/>
      <c r="H101" s="24"/>
      <c r="I101" s="24"/>
      <c r="J101" s="24"/>
      <c r="K101" s="54"/>
      <c r="L101" s="54"/>
    </row>
    <row r="102" spans="2:12" x14ac:dyDescent="0.25">
      <c r="B102" s="41"/>
      <c r="C102" s="41"/>
      <c r="D102" s="40">
        <v>4262</v>
      </c>
      <c r="E102" s="41"/>
      <c r="F102" s="52" t="s">
        <v>164</v>
      </c>
      <c r="G102" s="123"/>
      <c r="H102" s="24"/>
      <c r="I102" s="24"/>
      <c r="J102" s="24"/>
      <c r="K102" s="54"/>
      <c r="L102" s="54"/>
    </row>
    <row r="103" spans="2:12" ht="15.75" x14ac:dyDescent="0.25">
      <c r="F103" s="57" t="s">
        <v>166</v>
      </c>
      <c r="G103" s="58">
        <f>+G86+G34</f>
        <v>404836.25847766933</v>
      </c>
      <c r="H103" s="58">
        <f t="shared" ref="H103:J103" si="7">+H86+H34</f>
        <v>1054302</v>
      </c>
      <c r="I103" s="58">
        <f t="shared" si="7"/>
        <v>1054302</v>
      </c>
      <c r="J103" s="58">
        <f t="shared" si="7"/>
        <v>591069.88</v>
      </c>
      <c r="K103" s="58">
        <f t="shared" si="5"/>
        <v>146.00220894804147</v>
      </c>
      <c r="L103" s="58">
        <f t="shared" si="6"/>
        <v>56.062672744621558</v>
      </c>
    </row>
  </sheetData>
  <mergeCells count="7">
    <mergeCell ref="B7:F7"/>
    <mergeCell ref="B8:F8"/>
    <mergeCell ref="B32:F32"/>
    <mergeCell ref="B33:F33"/>
    <mergeCell ref="B1:L1"/>
    <mergeCell ref="B3:L3"/>
    <mergeCell ref="B5:L5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opLeftCell="A10" workbookViewId="0">
      <selection activeCell="G11" sqref="G11"/>
    </sheetView>
  </sheetViews>
  <sheetFormatPr defaultRowHeight="15" x14ac:dyDescent="0.25"/>
  <cols>
    <col min="2" max="2" width="7.5703125" bestFit="1" customWidth="1"/>
    <col min="3" max="3" width="8.5703125" bestFit="1" customWidth="1"/>
    <col min="4" max="4" width="8.42578125" customWidth="1"/>
    <col min="5" max="5" width="8.42578125" bestFit="1" customWidth="1"/>
    <col min="6" max="6" width="33.85546875" customWidth="1"/>
    <col min="7" max="10" width="25.28515625" customWidth="1"/>
    <col min="11" max="12" width="15.7109375" customWidth="1"/>
  </cols>
  <sheetData>
    <row r="1" spans="2:12" ht="18" customHeight="1" x14ac:dyDescent="0.25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15.75" customHeight="1" x14ac:dyDescent="0.25">
      <c r="B2" s="193" t="s">
        <v>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6.5" x14ac:dyDescent="0.25">
      <c r="B3" s="129"/>
      <c r="C3" s="129"/>
      <c r="D3" s="129"/>
      <c r="E3" s="129"/>
      <c r="F3" s="129"/>
      <c r="G3" s="129"/>
      <c r="H3" s="129"/>
      <c r="I3" s="129"/>
      <c r="J3" s="131"/>
      <c r="K3" s="131"/>
      <c r="L3" s="131"/>
    </row>
    <row r="4" spans="2:12" ht="18" customHeight="1" x14ac:dyDescent="0.25">
      <c r="B4" s="193" t="s">
        <v>50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2:12" ht="15.75" customHeight="1" x14ac:dyDescent="0.25">
      <c r="B5" s="193" t="s">
        <v>28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2:12" ht="16.5" x14ac:dyDescent="0.25">
      <c r="B6" s="129"/>
      <c r="C6" s="129"/>
      <c r="D6" s="129"/>
      <c r="E6" s="129"/>
      <c r="F6" s="129"/>
      <c r="G6" s="129"/>
      <c r="H6" s="129"/>
      <c r="I6" s="129"/>
      <c r="J6" s="131"/>
      <c r="K6" s="131"/>
      <c r="L6" s="131"/>
    </row>
    <row r="7" spans="2:12" ht="25.5" customHeight="1" x14ac:dyDescent="0.25">
      <c r="B7" s="201" t="s">
        <v>7</v>
      </c>
      <c r="C7" s="202"/>
      <c r="D7" s="202"/>
      <c r="E7" s="202"/>
      <c r="F7" s="203"/>
      <c r="G7" s="151" t="s">
        <v>43</v>
      </c>
      <c r="H7" s="151" t="s">
        <v>32</v>
      </c>
      <c r="I7" s="151" t="s">
        <v>30</v>
      </c>
      <c r="J7" s="151" t="s">
        <v>44</v>
      </c>
      <c r="K7" s="151" t="s">
        <v>12</v>
      </c>
      <c r="L7" s="151" t="s">
        <v>31</v>
      </c>
    </row>
    <row r="8" spans="2:12" s="10" customFormat="1" ht="16.5" x14ac:dyDescent="0.2">
      <c r="B8" s="152"/>
      <c r="C8" s="153"/>
      <c r="D8" s="153"/>
      <c r="E8" s="153">
        <v>1</v>
      </c>
      <c r="F8" s="151"/>
      <c r="G8" s="151">
        <v>2</v>
      </c>
      <c r="H8" s="151">
        <v>3</v>
      </c>
      <c r="I8" s="151">
        <v>4</v>
      </c>
      <c r="J8" s="151">
        <v>5</v>
      </c>
      <c r="K8" s="151" t="s">
        <v>14</v>
      </c>
      <c r="L8" s="151" t="s">
        <v>15</v>
      </c>
    </row>
    <row r="9" spans="2:12" ht="17.25" x14ac:dyDescent="0.3">
      <c r="B9" s="154"/>
      <c r="C9" s="154"/>
      <c r="D9" s="154"/>
      <c r="E9" s="154"/>
      <c r="F9" s="154" t="s">
        <v>16</v>
      </c>
      <c r="G9" s="155">
        <f>+G10+G25</f>
        <v>475079.15999999992</v>
      </c>
      <c r="H9" s="156">
        <f>+H10</f>
        <v>1054302</v>
      </c>
      <c r="I9" s="156">
        <f>+I10</f>
        <v>1054302</v>
      </c>
      <c r="J9" s="157">
        <f>+J10+J25</f>
        <v>591070</v>
      </c>
      <c r="K9" s="158">
        <f>+J9/G9*100</f>
        <v>124.41505537729756</v>
      </c>
      <c r="L9" s="157">
        <f>J9/I9*100</f>
        <v>56.06268412655956</v>
      </c>
    </row>
    <row r="10" spans="2:12" ht="17.25" x14ac:dyDescent="0.3">
      <c r="B10" s="159">
        <v>6</v>
      </c>
      <c r="C10" s="159"/>
      <c r="D10" s="159"/>
      <c r="E10" s="159"/>
      <c r="F10" s="159" t="s">
        <v>2</v>
      </c>
      <c r="G10" s="155">
        <f>+G11+G15+G18+G21</f>
        <v>475079.15999999992</v>
      </c>
      <c r="H10" s="156">
        <f>+H11+H15+H18+H21</f>
        <v>1054302</v>
      </c>
      <c r="I10" s="156">
        <f>+I11+I15+I18+I21</f>
        <v>1054302</v>
      </c>
      <c r="J10" s="160">
        <f>+J11+J15+J18+J21</f>
        <v>591070</v>
      </c>
      <c r="K10" s="158">
        <f t="shared" ref="K10:K23" si="0">+J10/G10*100</f>
        <v>124.41505537729756</v>
      </c>
      <c r="L10" s="157">
        <f>J10/I10*100</f>
        <v>56.06268412655956</v>
      </c>
    </row>
    <row r="11" spans="2:12" ht="49.5" x14ac:dyDescent="0.3">
      <c r="B11" s="159"/>
      <c r="C11" s="154">
        <v>63</v>
      </c>
      <c r="D11" s="154"/>
      <c r="E11" s="154"/>
      <c r="F11" s="154" t="s">
        <v>17</v>
      </c>
      <c r="G11" s="155">
        <f t="shared" ref="G11:J12" si="1">+G12</f>
        <v>384389.23</v>
      </c>
      <c r="H11" s="156">
        <f t="shared" si="1"/>
        <v>864828</v>
      </c>
      <c r="I11" s="156">
        <f t="shared" si="1"/>
        <v>864828</v>
      </c>
      <c r="J11" s="160">
        <f t="shared" si="1"/>
        <v>496141</v>
      </c>
      <c r="K11" s="158">
        <f t="shared" si="0"/>
        <v>129.07255492043834</v>
      </c>
      <c r="L11" s="157">
        <f>J11/I11*100</f>
        <v>57.368748467903444</v>
      </c>
    </row>
    <row r="12" spans="2:12" ht="17.25" x14ac:dyDescent="0.3">
      <c r="B12" s="161"/>
      <c r="C12" s="161"/>
      <c r="D12" s="161">
        <v>631</v>
      </c>
      <c r="E12" s="161"/>
      <c r="F12" s="161" t="s">
        <v>167</v>
      </c>
      <c r="G12" s="155">
        <f t="shared" si="1"/>
        <v>384389.23</v>
      </c>
      <c r="H12" s="156">
        <f t="shared" si="1"/>
        <v>864828</v>
      </c>
      <c r="I12" s="156">
        <f t="shared" si="1"/>
        <v>864828</v>
      </c>
      <c r="J12" s="160">
        <f t="shared" si="1"/>
        <v>496141</v>
      </c>
      <c r="K12" s="158">
        <f t="shared" si="0"/>
        <v>129.07255492043834</v>
      </c>
      <c r="L12" s="157">
        <f>J12/I12*100</f>
        <v>57.368748467903444</v>
      </c>
    </row>
    <row r="13" spans="2:12" ht="22.5" customHeight="1" x14ac:dyDescent="0.3">
      <c r="B13" s="161"/>
      <c r="C13" s="161"/>
      <c r="D13" s="161"/>
      <c r="E13" s="161">
        <v>6361</v>
      </c>
      <c r="F13" s="162" t="s">
        <v>167</v>
      </c>
      <c r="G13" s="155">
        <v>384389.23</v>
      </c>
      <c r="H13" s="156">
        <v>864828</v>
      </c>
      <c r="I13" s="156">
        <v>864828</v>
      </c>
      <c r="J13" s="160">
        <v>496141</v>
      </c>
      <c r="K13" s="158">
        <f t="shared" si="0"/>
        <v>129.07255492043834</v>
      </c>
      <c r="L13" s="157">
        <f>J13/I13*100</f>
        <v>57.368748467903444</v>
      </c>
    </row>
    <row r="14" spans="2:12" ht="17.25" x14ac:dyDescent="0.3">
      <c r="B14" s="161"/>
      <c r="C14" s="161"/>
      <c r="D14" s="163"/>
      <c r="E14" s="163" t="s">
        <v>11</v>
      </c>
      <c r="F14" s="163"/>
      <c r="G14" s="155"/>
      <c r="H14" s="156"/>
      <c r="I14" s="156"/>
      <c r="J14" s="160"/>
      <c r="K14" s="158"/>
      <c r="L14" s="164"/>
    </row>
    <row r="15" spans="2:12" ht="17.25" x14ac:dyDescent="0.3">
      <c r="B15" s="161"/>
      <c r="C15" s="161">
        <v>65</v>
      </c>
      <c r="D15" s="163"/>
      <c r="E15" s="163"/>
      <c r="F15" s="163" t="s">
        <v>54</v>
      </c>
      <c r="G15" s="155">
        <f t="shared" ref="G15:J16" si="2">+G16</f>
        <v>31787.29</v>
      </c>
      <c r="H15" s="156">
        <f t="shared" si="2"/>
        <v>51169</v>
      </c>
      <c r="I15" s="156">
        <f t="shared" si="2"/>
        <v>51169</v>
      </c>
      <c r="J15" s="160">
        <f t="shared" si="2"/>
        <v>12047</v>
      </c>
      <c r="K15" s="158">
        <f t="shared" si="0"/>
        <v>37.898795399041568</v>
      </c>
      <c r="L15" s="157">
        <f>J15/I15*100</f>
        <v>23.543551759854601</v>
      </c>
    </row>
    <row r="16" spans="2:12" ht="17.25" x14ac:dyDescent="0.3">
      <c r="B16" s="161"/>
      <c r="C16" s="161"/>
      <c r="D16" s="163">
        <v>652</v>
      </c>
      <c r="E16" s="163"/>
      <c r="F16" s="163" t="s">
        <v>55</v>
      </c>
      <c r="G16" s="155">
        <f t="shared" si="2"/>
        <v>31787.29</v>
      </c>
      <c r="H16" s="156">
        <f t="shared" si="2"/>
        <v>51169</v>
      </c>
      <c r="I16" s="156">
        <f t="shared" si="2"/>
        <v>51169</v>
      </c>
      <c r="J16" s="160">
        <f t="shared" si="2"/>
        <v>12047</v>
      </c>
      <c r="K16" s="158">
        <f t="shared" si="0"/>
        <v>37.898795399041568</v>
      </c>
      <c r="L16" s="157">
        <f>J16/I16*100</f>
        <v>23.543551759854601</v>
      </c>
    </row>
    <row r="17" spans="2:12" ht="17.25" x14ac:dyDescent="0.3">
      <c r="B17" s="161"/>
      <c r="C17" s="161"/>
      <c r="D17" s="163"/>
      <c r="E17" s="163">
        <v>6526</v>
      </c>
      <c r="F17" s="163" t="s">
        <v>53</v>
      </c>
      <c r="G17" s="155">
        <v>31787.29</v>
      </c>
      <c r="H17" s="156">
        <v>51169</v>
      </c>
      <c r="I17" s="156">
        <v>51169</v>
      </c>
      <c r="J17" s="160">
        <v>12047</v>
      </c>
      <c r="K17" s="158">
        <f t="shared" si="0"/>
        <v>37.898795399041568</v>
      </c>
      <c r="L17" s="157">
        <f>J17/I17*100</f>
        <v>23.543551759854601</v>
      </c>
    </row>
    <row r="18" spans="2:12" ht="49.5" x14ac:dyDescent="0.3">
      <c r="B18" s="161"/>
      <c r="C18" s="161">
        <v>66</v>
      </c>
      <c r="D18" s="163"/>
      <c r="E18" s="163"/>
      <c r="F18" s="154" t="s">
        <v>19</v>
      </c>
      <c r="G18" s="155">
        <f>+G19</f>
        <v>2586.23</v>
      </c>
      <c r="H18" s="156">
        <v>0</v>
      </c>
      <c r="I18" s="156">
        <v>0</v>
      </c>
      <c r="J18" s="160">
        <f>+J19</f>
        <v>0</v>
      </c>
      <c r="K18" s="158">
        <f t="shared" si="0"/>
        <v>0</v>
      </c>
      <c r="L18" s="164"/>
    </row>
    <row r="19" spans="2:12" ht="17.25" x14ac:dyDescent="0.3">
      <c r="B19" s="161"/>
      <c r="C19" s="165"/>
      <c r="D19" s="163">
        <v>663</v>
      </c>
      <c r="E19" s="163"/>
      <c r="F19" s="154" t="s">
        <v>56</v>
      </c>
      <c r="G19" s="155">
        <f>+G20</f>
        <v>2586.23</v>
      </c>
      <c r="H19" s="156">
        <v>0</v>
      </c>
      <c r="I19" s="156">
        <v>0</v>
      </c>
      <c r="J19" s="160">
        <f>+J20</f>
        <v>0</v>
      </c>
      <c r="K19" s="158">
        <f t="shared" si="0"/>
        <v>0</v>
      </c>
      <c r="L19" s="164"/>
    </row>
    <row r="20" spans="2:12" ht="17.25" x14ac:dyDescent="0.3">
      <c r="B20" s="161"/>
      <c r="C20" s="165"/>
      <c r="D20" s="163"/>
      <c r="E20" s="163">
        <v>6631</v>
      </c>
      <c r="F20" s="154" t="s">
        <v>57</v>
      </c>
      <c r="G20" s="155">
        <v>2586.23</v>
      </c>
      <c r="H20" s="156">
        <v>0</v>
      </c>
      <c r="I20" s="156">
        <v>0</v>
      </c>
      <c r="J20" s="160">
        <v>0</v>
      </c>
      <c r="K20" s="158">
        <f t="shared" si="0"/>
        <v>0</v>
      </c>
      <c r="L20" s="164"/>
    </row>
    <row r="21" spans="2:12" ht="33" x14ac:dyDescent="0.3">
      <c r="B21" s="161"/>
      <c r="C21" s="161">
        <v>67</v>
      </c>
      <c r="D21" s="163"/>
      <c r="E21" s="163" t="s">
        <v>20</v>
      </c>
      <c r="F21" s="154" t="s">
        <v>58</v>
      </c>
      <c r="G21" s="155">
        <f t="shared" ref="G21:J22" si="3">+G22</f>
        <v>56316.41</v>
      </c>
      <c r="H21" s="156">
        <f t="shared" si="3"/>
        <v>138305</v>
      </c>
      <c r="I21" s="156">
        <f t="shared" si="3"/>
        <v>138305</v>
      </c>
      <c r="J21" s="160">
        <f t="shared" si="3"/>
        <v>82882</v>
      </c>
      <c r="K21" s="158">
        <f t="shared" si="0"/>
        <v>147.17202321667875</v>
      </c>
      <c r="L21" s="157">
        <f>J21/I21*100</f>
        <v>59.926972994468741</v>
      </c>
    </row>
    <row r="22" spans="2:12" ht="33" x14ac:dyDescent="0.3">
      <c r="B22" s="161"/>
      <c r="C22" s="161"/>
      <c r="D22" s="163">
        <v>671</v>
      </c>
      <c r="E22" s="163"/>
      <c r="F22" s="154" t="s">
        <v>58</v>
      </c>
      <c r="G22" s="155">
        <f t="shared" si="3"/>
        <v>56316.41</v>
      </c>
      <c r="H22" s="156">
        <f t="shared" si="3"/>
        <v>138305</v>
      </c>
      <c r="I22" s="156">
        <f t="shared" si="3"/>
        <v>138305</v>
      </c>
      <c r="J22" s="160">
        <f t="shared" si="3"/>
        <v>82882</v>
      </c>
      <c r="K22" s="158">
        <f t="shared" si="0"/>
        <v>147.17202321667875</v>
      </c>
      <c r="L22" s="157">
        <f>J22/I22*100</f>
        <v>59.926972994468741</v>
      </c>
    </row>
    <row r="23" spans="2:12" ht="49.5" x14ac:dyDescent="0.3">
      <c r="B23" s="161"/>
      <c r="C23" s="161"/>
      <c r="D23" s="163">
        <v>6711</v>
      </c>
      <c r="E23" s="163"/>
      <c r="F23" s="154" t="s">
        <v>59</v>
      </c>
      <c r="G23" s="155">
        <v>56316.41</v>
      </c>
      <c r="H23" s="156">
        <v>138305</v>
      </c>
      <c r="I23" s="156">
        <v>138305</v>
      </c>
      <c r="J23" s="160">
        <v>82882</v>
      </c>
      <c r="K23" s="158">
        <f t="shared" si="0"/>
        <v>147.17202321667875</v>
      </c>
      <c r="L23" s="157">
        <f>J23/I23*100</f>
        <v>59.926972994468741</v>
      </c>
    </row>
    <row r="24" spans="2:12" ht="17.25" x14ac:dyDescent="0.3">
      <c r="B24" s="161"/>
      <c r="C24" s="161"/>
      <c r="D24" s="163"/>
      <c r="E24" s="163"/>
      <c r="F24" s="154"/>
      <c r="G24" s="156"/>
      <c r="H24" s="156"/>
      <c r="I24" s="156"/>
      <c r="J24" s="164"/>
      <c r="K24" s="166"/>
      <c r="L24" s="164"/>
    </row>
    <row r="25" spans="2:12" ht="33" x14ac:dyDescent="0.3">
      <c r="B25" s="165">
        <v>7</v>
      </c>
      <c r="C25" s="165"/>
      <c r="D25" s="167"/>
      <c r="E25" s="167"/>
      <c r="F25" s="159" t="s">
        <v>3</v>
      </c>
      <c r="G25" s="168"/>
      <c r="H25" s="168"/>
      <c r="I25" s="168"/>
      <c r="J25" s="169"/>
      <c r="K25" s="166"/>
      <c r="L25" s="169"/>
    </row>
    <row r="26" spans="2:12" ht="49.5" x14ac:dyDescent="0.3">
      <c r="B26" s="161"/>
      <c r="C26" s="161">
        <v>72</v>
      </c>
      <c r="D26" s="163"/>
      <c r="E26" s="163"/>
      <c r="F26" s="170" t="s">
        <v>21</v>
      </c>
      <c r="G26" s="156"/>
      <c r="H26" s="156"/>
      <c r="I26" s="156"/>
      <c r="J26" s="164"/>
      <c r="K26" s="164"/>
      <c r="L26" s="164"/>
    </row>
    <row r="27" spans="2:12" ht="33" x14ac:dyDescent="0.3">
      <c r="B27" s="161"/>
      <c r="C27" s="161"/>
      <c r="D27" s="161">
        <v>721</v>
      </c>
      <c r="E27" s="161"/>
      <c r="F27" s="170" t="s">
        <v>22</v>
      </c>
      <c r="G27" s="156"/>
      <c r="H27" s="156"/>
      <c r="I27" s="156"/>
      <c r="J27" s="164"/>
      <c r="K27" s="164"/>
      <c r="L27" s="164"/>
    </row>
    <row r="28" spans="2:12" ht="17.25" x14ac:dyDescent="0.3">
      <c r="B28" s="161"/>
      <c r="C28" s="161"/>
      <c r="D28" s="161"/>
      <c r="E28" s="161">
        <v>7211</v>
      </c>
      <c r="F28" s="170" t="s">
        <v>23</v>
      </c>
      <c r="G28" s="156"/>
      <c r="H28" s="156"/>
      <c r="I28" s="156"/>
      <c r="J28" s="164"/>
      <c r="K28" s="164"/>
      <c r="L28" s="164"/>
    </row>
    <row r="29" spans="2:12" ht="17.25" x14ac:dyDescent="0.3">
      <c r="B29" s="161"/>
      <c r="C29" s="161"/>
      <c r="D29" s="161"/>
      <c r="E29" s="161" t="s">
        <v>11</v>
      </c>
      <c r="F29" s="170"/>
      <c r="G29" s="156"/>
      <c r="H29" s="156"/>
      <c r="I29" s="156"/>
      <c r="J29" s="164"/>
      <c r="K29" s="164"/>
      <c r="L29" s="164"/>
    </row>
  </sheetData>
  <mergeCells count="4">
    <mergeCell ref="B7:F7"/>
    <mergeCell ref="B2:L2"/>
    <mergeCell ref="B4:L4"/>
    <mergeCell ref="B5:L5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4"/>
  <sheetViews>
    <sheetView topLeftCell="B7" workbookViewId="0">
      <selection activeCell="F9" sqref="F9"/>
    </sheetView>
  </sheetViews>
  <sheetFormatPr defaultRowHeight="15.75" x14ac:dyDescent="0.25"/>
  <cols>
    <col min="1" max="1" width="9.140625" hidden="1" customWidth="1"/>
    <col min="2" max="2" width="12.140625" style="70" bestFit="1" customWidth="1"/>
    <col min="3" max="3" width="8.5703125" style="70" bestFit="1" customWidth="1"/>
    <col min="4" max="4" width="49.28515625" style="70" customWidth="1"/>
    <col min="5" max="5" width="19" style="70" customWidth="1"/>
    <col min="6" max="8" width="25.28515625" style="70" customWidth="1"/>
    <col min="9" max="9" width="15.7109375" style="70" customWidth="1"/>
    <col min="10" max="10" width="9.28515625" style="70" bestFit="1" customWidth="1"/>
  </cols>
  <sheetData>
    <row r="1" spans="2:11" ht="18" customHeight="1" x14ac:dyDescent="0.25">
      <c r="B1" s="200" t="s">
        <v>8</v>
      </c>
      <c r="C1" s="224"/>
      <c r="D1" s="224"/>
      <c r="E1" s="224"/>
      <c r="F1" s="224"/>
      <c r="G1" s="224"/>
      <c r="H1" s="224"/>
      <c r="I1" s="224"/>
    </row>
    <row r="2" spans="2:11" x14ac:dyDescent="0.25">
      <c r="B2" s="225" t="s">
        <v>49</v>
      </c>
      <c r="C2" s="225"/>
      <c r="D2" s="225"/>
      <c r="E2" s="225"/>
      <c r="F2" s="225"/>
      <c r="G2" s="225"/>
      <c r="H2" s="225"/>
      <c r="I2" s="225"/>
    </row>
    <row r="3" spans="2:11" ht="31.5" x14ac:dyDescent="0.25">
      <c r="B3" s="226" t="s">
        <v>7</v>
      </c>
      <c r="C3" s="227"/>
      <c r="D3" s="227"/>
      <c r="E3" s="228"/>
      <c r="F3" s="71" t="s">
        <v>32</v>
      </c>
      <c r="G3" s="71" t="s">
        <v>30</v>
      </c>
      <c r="H3" s="71" t="s">
        <v>51</v>
      </c>
      <c r="I3" s="71" t="s">
        <v>31</v>
      </c>
    </row>
    <row r="4" spans="2:11" s="10" customFormat="1" x14ac:dyDescent="0.25">
      <c r="B4" s="226">
        <v>1</v>
      </c>
      <c r="C4" s="227"/>
      <c r="D4" s="227"/>
      <c r="E4" s="228"/>
      <c r="F4" s="71">
        <v>2</v>
      </c>
      <c r="G4" s="71">
        <v>3</v>
      </c>
      <c r="H4" s="71">
        <v>4</v>
      </c>
      <c r="I4" s="71" t="s">
        <v>29</v>
      </c>
      <c r="J4" s="70"/>
    </row>
    <row r="5" spans="2:11" s="20" customFormat="1" ht="30" customHeight="1" x14ac:dyDescent="0.25">
      <c r="B5" s="72" t="s">
        <v>168</v>
      </c>
      <c r="C5" s="72" t="s">
        <v>169</v>
      </c>
      <c r="D5" s="72" t="s">
        <v>170</v>
      </c>
      <c r="E5" s="72" t="s">
        <v>171</v>
      </c>
      <c r="F5" s="72"/>
      <c r="G5" s="72"/>
      <c r="H5" s="72" t="s">
        <v>172</v>
      </c>
      <c r="I5" s="229"/>
      <c r="J5" s="230"/>
      <c r="K5" s="61"/>
    </row>
    <row r="6" spans="2:11" s="20" customFormat="1" ht="30" customHeight="1" x14ac:dyDescent="0.25">
      <c r="B6" s="73"/>
      <c r="C6" s="73"/>
      <c r="D6" s="73"/>
      <c r="E6" s="73"/>
      <c r="F6" s="73"/>
      <c r="G6" s="73"/>
      <c r="H6" s="73"/>
      <c r="I6" s="231"/>
      <c r="J6" s="205"/>
      <c r="K6" s="62"/>
    </row>
    <row r="7" spans="2:11" s="20" customFormat="1" ht="30" customHeight="1" x14ac:dyDescent="0.25">
      <c r="B7" s="73"/>
      <c r="C7" s="73"/>
      <c r="D7" s="73"/>
      <c r="E7" s="73"/>
      <c r="F7" s="73"/>
      <c r="G7" s="73"/>
      <c r="H7" s="73"/>
      <c r="I7" s="231"/>
      <c r="J7" s="205"/>
      <c r="K7" s="62"/>
    </row>
    <row r="8" spans="2:11" s="20" customFormat="1" ht="30" customHeight="1" x14ac:dyDescent="0.25">
      <c r="B8" s="74" t="s">
        <v>173</v>
      </c>
      <c r="C8" s="221" t="s">
        <v>174</v>
      </c>
      <c r="D8" s="205"/>
      <c r="E8" s="75"/>
      <c r="F8" s="76">
        <v>1054302</v>
      </c>
      <c r="G8" s="76">
        <v>1054302</v>
      </c>
      <c r="H8" s="76">
        <v>591069.88</v>
      </c>
      <c r="I8" s="222">
        <f>+H8/G8*100</f>
        <v>56.062672744621558</v>
      </c>
      <c r="J8" s="223"/>
      <c r="K8" s="63"/>
    </row>
    <row r="9" spans="2:11" s="20" customFormat="1" ht="30" customHeight="1" x14ac:dyDescent="0.25">
      <c r="B9" s="74">
        <v>10838</v>
      </c>
      <c r="C9" s="221" t="s">
        <v>300</v>
      </c>
      <c r="D9" s="205"/>
      <c r="E9" s="75"/>
      <c r="F9" s="76">
        <v>1054302</v>
      </c>
      <c r="G9" s="76">
        <v>1054302</v>
      </c>
      <c r="H9" s="76">
        <v>591069.88</v>
      </c>
      <c r="I9" s="222">
        <f t="shared" ref="I9:I85" si="0">+H9/G9*100</f>
        <v>56.062672744621558</v>
      </c>
      <c r="J9" s="223"/>
      <c r="K9" s="63"/>
    </row>
    <row r="10" spans="2:11" s="20" customFormat="1" ht="30" customHeight="1" x14ac:dyDescent="0.25">
      <c r="B10" s="77" t="s">
        <v>175</v>
      </c>
      <c r="C10" s="215" t="s">
        <v>176</v>
      </c>
      <c r="D10" s="216"/>
      <c r="E10" s="78"/>
      <c r="F10" s="79">
        <v>840675</v>
      </c>
      <c r="G10" s="79">
        <v>840675</v>
      </c>
      <c r="H10" s="79">
        <v>443107.82</v>
      </c>
      <c r="I10" s="217">
        <f t="shared" si="0"/>
        <v>52.708575846789785</v>
      </c>
      <c r="J10" s="216"/>
      <c r="K10" s="63"/>
    </row>
    <row r="11" spans="2:11" s="20" customFormat="1" ht="30" customHeight="1" x14ac:dyDescent="0.25">
      <c r="B11" s="80"/>
      <c r="C11" s="218"/>
      <c r="D11" s="205"/>
      <c r="E11" s="81"/>
      <c r="F11" s="81"/>
      <c r="G11" s="81"/>
      <c r="H11" s="81"/>
      <c r="I11" s="204"/>
      <c r="J11" s="205"/>
      <c r="K11" s="62"/>
    </row>
    <row r="12" spans="2:11" s="20" customFormat="1" ht="30" customHeight="1" x14ac:dyDescent="0.25">
      <c r="B12" s="82"/>
      <c r="C12" s="209" t="s">
        <v>177</v>
      </c>
      <c r="D12" s="210"/>
      <c r="E12" s="83"/>
      <c r="F12" s="83"/>
      <c r="G12" s="83"/>
      <c r="H12" s="83"/>
      <c r="I12" s="204"/>
      <c r="J12" s="205"/>
      <c r="K12" s="62"/>
    </row>
    <row r="13" spans="2:11" s="20" customFormat="1" ht="30" customHeight="1" x14ac:dyDescent="0.25">
      <c r="B13" s="84" t="s">
        <v>178</v>
      </c>
      <c r="C13" s="211" t="s">
        <v>179</v>
      </c>
      <c r="D13" s="212"/>
      <c r="E13" s="85"/>
      <c r="F13" s="86">
        <f>F14</f>
        <v>25846</v>
      </c>
      <c r="G13" s="86">
        <f>25050+796</f>
        <v>25846</v>
      </c>
      <c r="H13" s="86">
        <f>10762.56+381.28</f>
        <v>11143.84</v>
      </c>
      <c r="I13" s="213">
        <f t="shared" si="0"/>
        <v>43.116304263715854</v>
      </c>
      <c r="J13" s="214"/>
      <c r="K13" s="62"/>
    </row>
    <row r="14" spans="2:11" ht="24" customHeight="1" x14ac:dyDescent="0.25">
      <c r="B14" s="87"/>
      <c r="C14" s="87" t="s">
        <v>60</v>
      </c>
      <c r="D14" s="87" t="s">
        <v>180</v>
      </c>
      <c r="E14" s="88"/>
      <c r="F14" s="89">
        <f>25050+796</f>
        <v>25846</v>
      </c>
      <c r="G14" s="89">
        <f>4769.61+7299.74+12741.72+238.93</f>
        <v>25050</v>
      </c>
      <c r="H14" s="89">
        <v>11143.84</v>
      </c>
      <c r="I14" s="204">
        <f t="shared" si="0"/>
        <v>44.486387225548903</v>
      </c>
      <c r="J14" s="205"/>
      <c r="K14" s="62"/>
    </row>
    <row r="15" spans="2:11" ht="22.5" customHeight="1" x14ac:dyDescent="0.25">
      <c r="B15" s="87"/>
      <c r="C15" s="87" t="s">
        <v>71</v>
      </c>
      <c r="D15" s="87" t="s">
        <v>181</v>
      </c>
      <c r="E15" s="88"/>
      <c r="F15" s="89">
        <f>4769.61+7299.74+12741.72+238.93</f>
        <v>25050</v>
      </c>
      <c r="G15" s="89">
        <v>4769.6099999999997</v>
      </c>
      <c r="H15" s="89">
        <v>3780.15</v>
      </c>
      <c r="I15" s="204">
        <f t="shared" si="0"/>
        <v>79.254907633957501</v>
      </c>
      <c r="J15" s="205"/>
      <c r="K15" s="62"/>
    </row>
    <row r="16" spans="2:11" ht="21" customHeight="1" x14ac:dyDescent="0.25">
      <c r="B16" s="87"/>
      <c r="C16" s="87" t="s">
        <v>72</v>
      </c>
      <c r="D16" s="87" t="s">
        <v>182</v>
      </c>
      <c r="E16" s="88"/>
      <c r="F16" s="89">
        <v>4769.6099999999997</v>
      </c>
      <c r="G16" s="89">
        <v>4769.6099999999997</v>
      </c>
      <c r="H16" s="89">
        <v>3780.15</v>
      </c>
      <c r="I16" s="204">
        <f t="shared" si="0"/>
        <v>79.254907633957501</v>
      </c>
      <c r="J16" s="205"/>
      <c r="K16" s="62"/>
    </row>
    <row r="17" spans="2:11" ht="23.25" customHeight="1" x14ac:dyDescent="0.25">
      <c r="B17" s="74" t="s">
        <v>183</v>
      </c>
      <c r="C17" s="74" t="s">
        <v>73</v>
      </c>
      <c r="D17" s="74" t="s">
        <v>184</v>
      </c>
      <c r="E17" s="75" t="s">
        <v>185</v>
      </c>
      <c r="F17" s="90"/>
      <c r="G17" s="90"/>
      <c r="H17" s="91">
        <v>3269.06</v>
      </c>
      <c r="I17" s="219"/>
      <c r="J17" s="220"/>
      <c r="K17" s="64"/>
    </row>
    <row r="18" spans="2:11" ht="18.75" customHeight="1" x14ac:dyDescent="0.25">
      <c r="B18" s="74" t="s">
        <v>186</v>
      </c>
      <c r="C18" s="74" t="s">
        <v>76</v>
      </c>
      <c r="D18" s="74" t="s">
        <v>187</v>
      </c>
      <c r="E18" s="75" t="s">
        <v>185</v>
      </c>
      <c r="F18" s="90"/>
      <c r="G18" s="90"/>
      <c r="H18" s="91">
        <v>511.09</v>
      </c>
      <c r="I18" s="219"/>
      <c r="J18" s="220"/>
      <c r="K18" s="64"/>
    </row>
    <row r="19" spans="2:11" ht="33" customHeight="1" x14ac:dyDescent="0.25">
      <c r="B19" s="74">
        <v>234342</v>
      </c>
      <c r="C19" s="74">
        <v>3214</v>
      </c>
      <c r="D19" s="74" t="s">
        <v>268</v>
      </c>
      <c r="E19" s="75">
        <v>48005</v>
      </c>
      <c r="F19" s="90"/>
      <c r="G19" s="90"/>
      <c r="H19" s="91">
        <v>0</v>
      </c>
      <c r="I19" s="90"/>
      <c r="J19" s="92"/>
      <c r="K19" s="64"/>
    </row>
    <row r="20" spans="2:11" ht="25.5" customHeight="1" x14ac:dyDescent="0.25">
      <c r="B20" s="87"/>
      <c r="C20" s="87" t="s">
        <v>79</v>
      </c>
      <c r="D20" s="87" t="s">
        <v>188</v>
      </c>
      <c r="E20" s="88"/>
      <c r="F20" s="89">
        <v>7299.74</v>
      </c>
      <c r="G20" s="89">
        <v>7299.74</v>
      </c>
      <c r="H20" s="89">
        <v>282.12</v>
      </c>
      <c r="I20" s="204">
        <f t="shared" si="0"/>
        <v>3.8647951844860229</v>
      </c>
      <c r="J20" s="205"/>
      <c r="K20" s="62"/>
    </row>
    <row r="21" spans="2:11" ht="34.5" customHeight="1" x14ac:dyDescent="0.25">
      <c r="B21" s="74" t="s">
        <v>189</v>
      </c>
      <c r="C21" s="74" t="s">
        <v>81</v>
      </c>
      <c r="D21" s="74" t="s">
        <v>190</v>
      </c>
      <c r="E21" s="75" t="s">
        <v>185</v>
      </c>
      <c r="F21" s="91">
        <v>0</v>
      </c>
      <c r="G21" s="91">
        <v>0</v>
      </c>
      <c r="H21" s="91">
        <v>0</v>
      </c>
      <c r="I21" s="204">
        <v>0</v>
      </c>
      <c r="J21" s="205"/>
      <c r="K21" s="62"/>
    </row>
    <row r="22" spans="2:11" ht="35.25" customHeight="1" x14ac:dyDescent="0.25">
      <c r="B22" s="74" t="s">
        <v>191</v>
      </c>
      <c r="C22" s="74" t="s">
        <v>87</v>
      </c>
      <c r="D22" s="74" t="s">
        <v>192</v>
      </c>
      <c r="E22" s="75" t="s">
        <v>185</v>
      </c>
      <c r="F22" s="91">
        <v>0</v>
      </c>
      <c r="G22" s="91">
        <v>0</v>
      </c>
      <c r="H22" s="91">
        <v>282.12</v>
      </c>
      <c r="I22" s="204">
        <v>0</v>
      </c>
      <c r="J22" s="205"/>
      <c r="K22" s="62"/>
    </row>
    <row r="23" spans="2:11" ht="24.75" customHeight="1" x14ac:dyDescent="0.25">
      <c r="B23" s="87"/>
      <c r="C23" s="87" t="s">
        <v>93</v>
      </c>
      <c r="D23" s="87" t="s">
        <v>193</v>
      </c>
      <c r="E23" s="88"/>
      <c r="F23" s="89">
        <v>12741.72</v>
      </c>
      <c r="G23" s="89">
        <v>12741.72</v>
      </c>
      <c r="H23" s="89">
        <v>6645.29</v>
      </c>
      <c r="I23" s="204">
        <f t="shared" si="0"/>
        <v>52.153790853982038</v>
      </c>
      <c r="J23" s="205"/>
      <c r="K23" s="62"/>
    </row>
    <row r="24" spans="2:11" ht="27.75" customHeight="1" x14ac:dyDescent="0.25">
      <c r="B24" s="74" t="s">
        <v>194</v>
      </c>
      <c r="C24" s="74" t="s">
        <v>95</v>
      </c>
      <c r="D24" s="74" t="s">
        <v>195</v>
      </c>
      <c r="E24" s="75" t="s">
        <v>185</v>
      </c>
      <c r="F24" s="90"/>
      <c r="G24" s="90"/>
      <c r="H24" s="91">
        <v>663.61</v>
      </c>
      <c r="I24" s="204"/>
      <c r="J24" s="205"/>
      <c r="K24" s="62"/>
    </row>
    <row r="25" spans="2:11" ht="33.75" customHeight="1" x14ac:dyDescent="0.25">
      <c r="B25" s="74" t="s">
        <v>196</v>
      </c>
      <c r="C25" s="74" t="s">
        <v>97</v>
      </c>
      <c r="D25" s="74" t="s">
        <v>197</v>
      </c>
      <c r="E25" s="75" t="s">
        <v>185</v>
      </c>
      <c r="F25" s="90"/>
      <c r="G25" s="90"/>
      <c r="H25" s="91">
        <v>573.49</v>
      </c>
      <c r="I25" s="219"/>
      <c r="J25" s="220"/>
      <c r="K25" s="64"/>
    </row>
    <row r="26" spans="2:11" ht="27" customHeight="1" x14ac:dyDescent="0.25">
      <c r="B26" s="74" t="s">
        <v>198</v>
      </c>
      <c r="C26" s="74" t="s">
        <v>101</v>
      </c>
      <c r="D26" s="74" t="s">
        <v>199</v>
      </c>
      <c r="E26" s="75" t="s">
        <v>185</v>
      </c>
      <c r="F26" s="90"/>
      <c r="G26" s="90"/>
      <c r="H26" s="91">
        <v>1886.54</v>
      </c>
      <c r="I26" s="219"/>
      <c r="J26" s="220"/>
      <c r="K26" s="64"/>
    </row>
    <row r="27" spans="2:11" ht="24.75" customHeight="1" x14ac:dyDescent="0.25">
      <c r="B27" s="74" t="s">
        <v>200</v>
      </c>
      <c r="C27" s="74" t="s">
        <v>107</v>
      </c>
      <c r="D27" s="74" t="s">
        <v>201</v>
      </c>
      <c r="E27" s="75" t="s">
        <v>185</v>
      </c>
      <c r="F27" s="90"/>
      <c r="G27" s="90"/>
      <c r="H27" s="91">
        <v>0</v>
      </c>
      <c r="I27" s="219"/>
      <c r="J27" s="220"/>
      <c r="K27" s="64"/>
    </row>
    <row r="28" spans="2:11" x14ac:dyDescent="0.25">
      <c r="B28" s="74" t="s">
        <v>202</v>
      </c>
      <c r="C28" s="74" t="s">
        <v>109</v>
      </c>
      <c r="D28" s="74" t="s">
        <v>203</v>
      </c>
      <c r="E28" s="75" t="s">
        <v>185</v>
      </c>
      <c r="F28" s="90"/>
      <c r="G28" s="90"/>
      <c r="H28" s="91">
        <v>2791.65</v>
      </c>
      <c r="I28" s="219"/>
      <c r="J28" s="220"/>
      <c r="K28" s="64"/>
    </row>
    <row r="29" spans="2:11" x14ac:dyDescent="0.25">
      <c r="B29" s="74">
        <v>234354</v>
      </c>
      <c r="C29" s="74">
        <v>3239</v>
      </c>
      <c r="D29" s="74" t="s">
        <v>249</v>
      </c>
      <c r="E29" s="75">
        <v>48005</v>
      </c>
      <c r="F29" s="90"/>
      <c r="G29" s="90"/>
      <c r="H29" s="91">
        <v>750</v>
      </c>
      <c r="I29" s="90"/>
      <c r="J29" s="92"/>
      <c r="K29" s="64"/>
    </row>
    <row r="30" spans="2:11" ht="23.25" customHeight="1" x14ac:dyDescent="0.25">
      <c r="B30" s="87"/>
      <c r="C30" s="87" t="s">
        <v>113</v>
      </c>
      <c r="D30" s="87" t="s">
        <v>204</v>
      </c>
      <c r="E30" s="88"/>
      <c r="F30" s="89">
        <v>238.93</v>
      </c>
      <c r="G30" s="89">
        <v>238.93</v>
      </c>
      <c r="H30" s="89">
        <v>55</v>
      </c>
      <c r="I30" s="204">
        <f t="shared" si="0"/>
        <v>23.019294353994894</v>
      </c>
      <c r="J30" s="205"/>
      <c r="K30" s="62"/>
    </row>
    <row r="31" spans="2:11" x14ac:dyDescent="0.25">
      <c r="B31" s="74" t="s">
        <v>205</v>
      </c>
      <c r="C31" s="74" t="s">
        <v>119</v>
      </c>
      <c r="D31" s="74" t="s">
        <v>206</v>
      </c>
      <c r="E31" s="75" t="s">
        <v>185</v>
      </c>
      <c r="F31" s="90"/>
      <c r="G31" s="90"/>
      <c r="H31" s="91">
        <v>55</v>
      </c>
      <c r="I31" s="219"/>
      <c r="J31" s="220"/>
      <c r="K31" s="64"/>
    </row>
    <row r="32" spans="2:11" x14ac:dyDescent="0.25">
      <c r="B32" s="74" t="s">
        <v>207</v>
      </c>
      <c r="C32" s="74" t="s">
        <v>208</v>
      </c>
      <c r="D32" s="74" t="s">
        <v>209</v>
      </c>
      <c r="E32" s="75" t="s">
        <v>185</v>
      </c>
      <c r="F32" s="90"/>
      <c r="G32" s="90"/>
      <c r="H32" s="91">
        <v>0</v>
      </c>
      <c r="I32" s="219"/>
      <c r="J32" s="220"/>
      <c r="K32" s="64"/>
    </row>
    <row r="33" spans="2:11" ht="25.5" customHeight="1" x14ac:dyDescent="0.25">
      <c r="B33" s="87"/>
      <c r="C33" s="87" t="s">
        <v>124</v>
      </c>
      <c r="D33" s="87" t="s">
        <v>210</v>
      </c>
      <c r="E33" s="88"/>
      <c r="F33" s="89">
        <v>796</v>
      </c>
      <c r="G33" s="89">
        <v>796</v>
      </c>
      <c r="H33" s="89">
        <v>381.28</v>
      </c>
      <c r="I33" s="204">
        <f t="shared" si="0"/>
        <v>47.899497487437181</v>
      </c>
      <c r="J33" s="205"/>
      <c r="K33" s="62"/>
    </row>
    <row r="34" spans="2:11" ht="34.5" customHeight="1" x14ac:dyDescent="0.25">
      <c r="B34" s="87"/>
      <c r="C34" s="87" t="s">
        <v>126</v>
      </c>
      <c r="D34" s="87" t="s">
        <v>211</v>
      </c>
      <c r="E34" s="88"/>
      <c r="F34" s="89">
        <v>796</v>
      </c>
      <c r="G34" s="89">
        <v>796</v>
      </c>
      <c r="H34" s="89">
        <v>381.28</v>
      </c>
      <c r="I34" s="204">
        <f t="shared" si="0"/>
        <v>47.899497487437181</v>
      </c>
      <c r="J34" s="205"/>
      <c r="K34" s="62"/>
    </row>
    <row r="35" spans="2:11" ht="35.25" customHeight="1" x14ac:dyDescent="0.25">
      <c r="B35" s="74" t="s">
        <v>212</v>
      </c>
      <c r="C35" s="74" t="s">
        <v>128</v>
      </c>
      <c r="D35" s="74" t="s">
        <v>213</v>
      </c>
      <c r="E35" s="75" t="s">
        <v>185</v>
      </c>
      <c r="F35" s="91">
        <v>796</v>
      </c>
      <c r="G35" s="91">
        <v>796</v>
      </c>
      <c r="H35" s="91">
        <v>381.28</v>
      </c>
      <c r="I35" s="204">
        <f t="shared" si="0"/>
        <v>47.899497487437181</v>
      </c>
      <c r="J35" s="205"/>
      <c r="K35" s="62"/>
    </row>
    <row r="36" spans="2:11" x14ac:dyDescent="0.25">
      <c r="B36" s="82"/>
      <c r="C36" s="209" t="s">
        <v>177</v>
      </c>
      <c r="D36" s="210"/>
      <c r="E36" s="83"/>
      <c r="F36" s="83"/>
      <c r="G36" s="83"/>
      <c r="H36" s="83"/>
      <c r="I36" s="204"/>
      <c r="J36" s="205"/>
      <c r="K36" s="62"/>
    </row>
    <row r="37" spans="2:11" x14ac:dyDescent="0.25">
      <c r="B37" s="84" t="s">
        <v>214</v>
      </c>
      <c r="C37" s="211" t="s">
        <v>215</v>
      </c>
      <c r="D37" s="212"/>
      <c r="E37" s="85"/>
      <c r="F37" s="86">
        <v>76232</v>
      </c>
      <c r="G37" s="86">
        <v>76232</v>
      </c>
      <c r="H37" s="86">
        <v>41920.28</v>
      </c>
      <c r="I37" s="213">
        <f t="shared" si="0"/>
        <v>54.990397733235383</v>
      </c>
      <c r="J37" s="214"/>
      <c r="K37" s="62"/>
    </row>
    <row r="38" spans="2:11" x14ac:dyDescent="0.25">
      <c r="B38" s="87"/>
      <c r="C38" s="87" t="s">
        <v>60</v>
      </c>
      <c r="D38" s="87" t="s">
        <v>180</v>
      </c>
      <c r="E38" s="88"/>
      <c r="F38" s="89">
        <v>76232</v>
      </c>
      <c r="G38" s="89">
        <v>76232</v>
      </c>
      <c r="H38" s="89">
        <v>41920.28</v>
      </c>
      <c r="I38" s="204">
        <f t="shared" si="0"/>
        <v>54.990397733235383</v>
      </c>
      <c r="J38" s="205"/>
      <c r="K38" s="62"/>
    </row>
    <row r="39" spans="2:11" x14ac:dyDescent="0.25">
      <c r="B39" s="87"/>
      <c r="C39" s="87" t="s">
        <v>71</v>
      </c>
      <c r="D39" s="87" t="s">
        <v>181</v>
      </c>
      <c r="E39" s="88"/>
      <c r="F39" s="89">
        <v>4741</v>
      </c>
      <c r="G39" s="89">
        <v>4741</v>
      </c>
      <c r="H39" s="89">
        <v>1408.48</v>
      </c>
      <c r="I39" s="204">
        <f t="shared" si="0"/>
        <v>29.708500316388946</v>
      </c>
      <c r="J39" s="205"/>
      <c r="K39" s="62"/>
    </row>
    <row r="40" spans="2:11" x14ac:dyDescent="0.25">
      <c r="B40" s="87"/>
      <c r="C40" s="87" t="s">
        <v>93</v>
      </c>
      <c r="D40" s="87" t="s">
        <v>193</v>
      </c>
      <c r="E40" s="88"/>
      <c r="F40" s="89">
        <v>4741</v>
      </c>
      <c r="G40" s="89">
        <v>4741</v>
      </c>
      <c r="H40" s="89">
        <v>1408.48</v>
      </c>
      <c r="I40" s="204">
        <f t="shared" si="0"/>
        <v>29.708500316388946</v>
      </c>
      <c r="J40" s="205"/>
      <c r="K40" s="62"/>
    </row>
    <row r="41" spans="2:11" x14ac:dyDescent="0.25">
      <c r="B41" s="74">
        <v>234358</v>
      </c>
      <c r="C41" s="74">
        <v>3235</v>
      </c>
      <c r="D41" s="74" t="s">
        <v>301</v>
      </c>
      <c r="E41" s="75"/>
      <c r="F41" s="90"/>
      <c r="G41" s="90"/>
      <c r="H41" s="91">
        <v>1408.48</v>
      </c>
      <c r="I41" s="90"/>
      <c r="J41" s="92"/>
      <c r="K41" s="64"/>
    </row>
    <row r="42" spans="2:11" ht="29.25" customHeight="1" x14ac:dyDescent="0.25">
      <c r="B42" s="74" t="s">
        <v>216</v>
      </c>
      <c r="C42" s="74" t="s">
        <v>105</v>
      </c>
      <c r="D42" s="74" t="s">
        <v>217</v>
      </c>
      <c r="E42" s="75" t="s">
        <v>185</v>
      </c>
      <c r="F42" s="90"/>
      <c r="G42" s="90"/>
      <c r="H42" s="91">
        <v>0</v>
      </c>
      <c r="I42" s="219"/>
      <c r="J42" s="220"/>
      <c r="K42" s="64"/>
    </row>
    <row r="43" spans="2:11" ht="39" customHeight="1" x14ac:dyDescent="0.25">
      <c r="B43" s="87"/>
      <c r="C43" s="87" t="s">
        <v>130</v>
      </c>
      <c r="D43" s="87" t="s">
        <v>218</v>
      </c>
      <c r="E43" s="88"/>
      <c r="F43" s="89">
        <v>71491</v>
      </c>
      <c r="G43" s="89">
        <v>71491</v>
      </c>
      <c r="H43" s="89">
        <v>40511.800000000003</v>
      </c>
      <c r="I43" s="204">
        <f t="shared" si="0"/>
        <v>56.666993048075987</v>
      </c>
      <c r="J43" s="205"/>
      <c r="K43" s="62"/>
    </row>
    <row r="44" spans="2:11" ht="30.75" customHeight="1" x14ac:dyDescent="0.25">
      <c r="B44" s="87"/>
      <c r="C44" s="87" t="s">
        <v>131</v>
      </c>
      <c r="D44" s="87" t="s">
        <v>219</v>
      </c>
      <c r="E44" s="88"/>
      <c r="F44" s="89">
        <v>71491</v>
      </c>
      <c r="G44" s="89">
        <v>71491</v>
      </c>
      <c r="H44" s="89">
        <v>40511.800000000003</v>
      </c>
      <c r="I44" s="204">
        <f t="shared" si="0"/>
        <v>56.666993048075987</v>
      </c>
      <c r="J44" s="205"/>
      <c r="K44" s="62"/>
    </row>
    <row r="45" spans="2:11" x14ac:dyDescent="0.25">
      <c r="B45" s="74" t="s">
        <v>220</v>
      </c>
      <c r="C45" s="74" t="s">
        <v>133</v>
      </c>
      <c r="D45" s="74" t="s">
        <v>221</v>
      </c>
      <c r="E45" s="75" t="s">
        <v>185</v>
      </c>
      <c r="F45" s="90"/>
      <c r="G45" s="90"/>
      <c r="H45" s="91">
        <v>40511.800000000003</v>
      </c>
      <c r="I45" s="219"/>
      <c r="J45" s="220"/>
      <c r="K45" s="64"/>
    </row>
    <row r="46" spans="2:11" x14ac:dyDescent="0.25">
      <c r="B46" s="82"/>
      <c r="C46" s="209" t="s">
        <v>177</v>
      </c>
      <c r="D46" s="210"/>
      <c r="E46" s="83"/>
      <c r="F46" s="83"/>
      <c r="G46" s="83"/>
      <c r="H46" s="83"/>
      <c r="I46" s="204"/>
      <c r="J46" s="205"/>
      <c r="K46" s="62"/>
    </row>
    <row r="47" spans="2:11" x14ac:dyDescent="0.25">
      <c r="B47" s="84" t="s">
        <v>222</v>
      </c>
      <c r="C47" s="211" t="s">
        <v>223</v>
      </c>
      <c r="D47" s="212"/>
      <c r="E47" s="85"/>
      <c r="F47" s="86">
        <v>597</v>
      </c>
      <c r="G47" s="86">
        <v>597</v>
      </c>
      <c r="H47" s="86">
        <v>0</v>
      </c>
      <c r="I47" s="213">
        <f t="shared" si="0"/>
        <v>0</v>
      </c>
      <c r="J47" s="214"/>
      <c r="K47" s="62"/>
    </row>
    <row r="48" spans="2:11" x14ac:dyDescent="0.25">
      <c r="B48" s="87"/>
      <c r="C48" s="87" t="s">
        <v>60</v>
      </c>
      <c r="D48" s="87" t="s">
        <v>180</v>
      </c>
      <c r="E48" s="88"/>
      <c r="F48" s="89">
        <v>597</v>
      </c>
      <c r="G48" s="89">
        <v>597</v>
      </c>
      <c r="H48" s="89">
        <v>0</v>
      </c>
      <c r="I48" s="204">
        <f t="shared" si="0"/>
        <v>0</v>
      </c>
      <c r="J48" s="205"/>
      <c r="K48" s="62"/>
    </row>
    <row r="49" spans="2:11" x14ac:dyDescent="0.25">
      <c r="B49" s="87"/>
      <c r="C49" s="87">
        <v>32</v>
      </c>
      <c r="D49" s="87" t="s">
        <v>181</v>
      </c>
      <c r="E49" s="88"/>
      <c r="F49" s="89">
        <v>597</v>
      </c>
      <c r="G49" s="89">
        <v>597</v>
      </c>
      <c r="H49" s="89">
        <v>0</v>
      </c>
      <c r="I49" s="204">
        <f t="shared" si="0"/>
        <v>0</v>
      </c>
      <c r="J49" s="205"/>
      <c r="K49" s="62"/>
    </row>
    <row r="50" spans="2:11" ht="19.5" customHeight="1" x14ac:dyDescent="0.25">
      <c r="B50" s="87"/>
      <c r="C50" s="87">
        <v>329</v>
      </c>
      <c r="D50" s="87" t="s">
        <v>204</v>
      </c>
      <c r="E50" s="88"/>
      <c r="F50" s="89">
        <v>597</v>
      </c>
      <c r="G50" s="89">
        <v>597</v>
      </c>
      <c r="H50" s="89">
        <v>0</v>
      </c>
      <c r="I50" s="204">
        <f t="shared" si="0"/>
        <v>0</v>
      </c>
      <c r="J50" s="205"/>
      <c r="K50" s="62"/>
    </row>
    <row r="51" spans="2:11" x14ac:dyDescent="0.25">
      <c r="B51" s="74" t="s">
        <v>224</v>
      </c>
      <c r="C51" s="74">
        <v>3292</v>
      </c>
      <c r="D51" s="74" t="s">
        <v>241</v>
      </c>
      <c r="E51" s="75">
        <v>47300</v>
      </c>
      <c r="F51" s="91">
        <v>597</v>
      </c>
      <c r="G51" s="91">
        <v>597</v>
      </c>
      <c r="H51" s="91">
        <v>0</v>
      </c>
      <c r="I51" s="204">
        <f t="shared" si="0"/>
        <v>0</v>
      </c>
      <c r="J51" s="205"/>
      <c r="K51" s="62"/>
    </row>
    <row r="52" spans="2:11" x14ac:dyDescent="0.25">
      <c r="B52" s="82"/>
      <c r="C52" s="209" t="s">
        <v>177</v>
      </c>
      <c r="D52" s="210"/>
      <c r="E52" s="83"/>
      <c r="F52" s="83"/>
      <c r="G52" s="83"/>
      <c r="H52" s="83"/>
      <c r="I52" s="204"/>
      <c r="J52" s="205"/>
      <c r="K52" s="62"/>
    </row>
    <row r="53" spans="2:11" x14ac:dyDescent="0.25">
      <c r="B53" s="84" t="s">
        <v>226</v>
      </c>
      <c r="C53" s="211" t="s">
        <v>227</v>
      </c>
      <c r="D53" s="212"/>
      <c r="E53" s="85"/>
      <c r="F53" s="86">
        <v>738000</v>
      </c>
      <c r="G53" s="86">
        <v>738000</v>
      </c>
      <c r="H53" s="86">
        <v>390043.7</v>
      </c>
      <c r="I53" s="213">
        <f t="shared" si="0"/>
        <v>52.851449864498647</v>
      </c>
      <c r="J53" s="214"/>
      <c r="K53" s="62"/>
    </row>
    <row r="54" spans="2:11" x14ac:dyDescent="0.25">
      <c r="B54" s="87"/>
      <c r="C54" s="87" t="s">
        <v>60</v>
      </c>
      <c r="D54" s="87" t="s">
        <v>180</v>
      </c>
      <c r="E54" s="88"/>
      <c r="F54" s="89">
        <f>F55+F66+F74</f>
        <v>738000</v>
      </c>
      <c r="G54" s="89">
        <v>738000</v>
      </c>
      <c r="H54" s="89">
        <v>390043.7</v>
      </c>
      <c r="I54" s="204">
        <f t="shared" si="0"/>
        <v>52.851449864498647</v>
      </c>
      <c r="J54" s="205"/>
      <c r="K54" s="62"/>
    </row>
    <row r="55" spans="2:11" x14ac:dyDescent="0.25">
      <c r="B55" s="87"/>
      <c r="C55" s="87" t="s">
        <v>61</v>
      </c>
      <c r="D55" s="87" t="s">
        <v>228</v>
      </c>
      <c r="E55" s="88"/>
      <c r="F55" s="89">
        <f>F56+F61+F63</f>
        <v>711853</v>
      </c>
      <c r="G55" s="89">
        <v>399097</v>
      </c>
      <c r="H55" s="89">
        <f>+H56+H61+H63</f>
        <v>374858.1</v>
      </c>
      <c r="I55" s="204">
        <f t="shared" si="0"/>
        <v>93.926564218723769</v>
      </c>
      <c r="J55" s="205"/>
      <c r="K55" s="62"/>
    </row>
    <row r="56" spans="2:11" x14ac:dyDescent="0.25">
      <c r="B56" s="87"/>
      <c r="C56" s="87" t="s">
        <v>62</v>
      </c>
      <c r="D56" s="87" t="s">
        <v>229</v>
      </c>
      <c r="E56" s="88"/>
      <c r="F56" s="89">
        <v>596915.05000000005</v>
      </c>
      <c r="G56" s="89">
        <v>596915.05000000005</v>
      </c>
      <c r="H56" s="89">
        <v>310196.99</v>
      </c>
      <c r="I56" s="204">
        <f t="shared" si="0"/>
        <v>51.966689397427658</v>
      </c>
      <c r="J56" s="205"/>
      <c r="K56" s="62"/>
    </row>
    <row r="57" spans="2:11" x14ac:dyDescent="0.25">
      <c r="B57" s="74">
        <v>234362</v>
      </c>
      <c r="C57" s="74" t="s">
        <v>63</v>
      </c>
      <c r="D57" s="74" t="s">
        <v>230</v>
      </c>
      <c r="E57" s="75" t="s">
        <v>225</v>
      </c>
      <c r="F57" s="90"/>
      <c r="G57" s="90"/>
      <c r="H57" s="91">
        <v>307448.86</v>
      </c>
      <c r="I57" s="219"/>
      <c r="J57" s="220"/>
      <c r="K57" s="64"/>
    </row>
    <row r="58" spans="2:11" ht="22.5" customHeight="1" x14ac:dyDescent="0.25">
      <c r="B58" s="74">
        <v>234363</v>
      </c>
      <c r="C58" s="74">
        <v>3113</v>
      </c>
      <c r="D58" s="74" t="s">
        <v>302</v>
      </c>
      <c r="E58" s="75">
        <v>53082</v>
      </c>
      <c r="F58" s="90"/>
      <c r="G58" s="90"/>
      <c r="H58" s="91">
        <v>2507.9899999999998</v>
      </c>
      <c r="I58" s="91"/>
      <c r="J58" s="93">
        <v>0</v>
      </c>
      <c r="K58" s="62"/>
    </row>
    <row r="59" spans="2:11" x14ac:dyDescent="0.25">
      <c r="B59" s="74">
        <v>234364</v>
      </c>
      <c r="C59" s="74">
        <v>3114</v>
      </c>
      <c r="D59" s="74" t="s">
        <v>303</v>
      </c>
      <c r="E59" s="75">
        <v>53082</v>
      </c>
      <c r="F59" s="90"/>
      <c r="G59" s="90"/>
      <c r="H59" s="91">
        <v>240.14</v>
      </c>
      <c r="I59" s="91"/>
      <c r="J59" s="93">
        <v>0</v>
      </c>
      <c r="K59" s="62"/>
    </row>
    <row r="60" spans="2:11" x14ac:dyDescent="0.25">
      <c r="B60" s="74"/>
      <c r="C60" s="74"/>
      <c r="D60" s="74"/>
      <c r="E60" s="75"/>
      <c r="F60" s="91"/>
      <c r="G60" s="91"/>
      <c r="H60" s="91"/>
      <c r="I60" s="91"/>
      <c r="J60" s="93"/>
      <c r="K60" s="62"/>
    </row>
    <row r="61" spans="2:11" x14ac:dyDescent="0.25">
      <c r="B61" s="87"/>
      <c r="C61" s="87" t="s">
        <v>64</v>
      </c>
      <c r="D61" s="87" t="s">
        <v>231</v>
      </c>
      <c r="E61" s="88"/>
      <c r="F61" s="89">
        <v>25217.33</v>
      </c>
      <c r="G61" s="89">
        <v>25217.33</v>
      </c>
      <c r="H61" s="89">
        <v>13038.54</v>
      </c>
      <c r="I61" s="204">
        <f t="shared" si="0"/>
        <v>51.704680868275901</v>
      </c>
      <c r="J61" s="205"/>
      <c r="K61" s="62"/>
    </row>
    <row r="62" spans="2:11" x14ac:dyDescent="0.25">
      <c r="B62" s="74">
        <v>234365</v>
      </c>
      <c r="C62" s="74" t="s">
        <v>66</v>
      </c>
      <c r="D62" s="74" t="s">
        <v>231</v>
      </c>
      <c r="E62" s="75" t="s">
        <v>225</v>
      </c>
      <c r="F62" s="91">
        <v>25217.33</v>
      </c>
      <c r="G62" s="91">
        <v>25217.33</v>
      </c>
      <c r="H62" s="91">
        <v>13038.54</v>
      </c>
      <c r="I62" s="204">
        <f t="shared" si="0"/>
        <v>51.704680868275901</v>
      </c>
      <c r="J62" s="205"/>
      <c r="K62" s="62"/>
    </row>
    <row r="63" spans="2:11" x14ac:dyDescent="0.25">
      <c r="B63" s="87"/>
      <c r="C63" s="87" t="s">
        <v>67</v>
      </c>
      <c r="D63" s="87" t="s">
        <v>232</v>
      </c>
      <c r="E63" s="88"/>
      <c r="F63" s="89">
        <v>89720.62</v>
      </c>
      <c r="G63" s="89">
        <v>89720.62</v>
      </c>
      <c r="H63" s="89">
        <v>51622.57</v>
      </c>
      <c r="I63" s="204">
        <f t="shared" si="0"/>
        <v>57.537018803481303</v>
      </c>
      <c r="J63" s="205"/>
      <c r="K63" s="62"/>
    </row>
    <row r="64" spans="2:11" ht="35.25" customHeight="1" x14ac:dyDescent="0.25">
      <c r="B64" s="74">
        <v>234366</v>
      </c>
      <c r="C64" s="74" t="s">
        <v>69</v>
      </c>
      <c r="D64" s="74" t="s">
        <v>233</v>
      </c>
      <c r="E64" s="75" t="s">
        <v>225</v>
      </c>
      <c r="F64" s="91">
        <v>89720.62</v>
      </c>
      <c r="G64" s="91">
        <v>89720.62</v>
      </c>
      <c r="H64" s="91">
        <v>51622.57</v>
      </c>
      <c r="I64" s="204">
        <f t="shared" si="0"/>
        <v>57.537018803481303</v>
      </c>
      <c r="J64" s="205"/>
      <c r="K64" s="62"/>
    </row>
    <row r="65" spans="2:11" ht="28.5" customHeight="1" x14ac:dyDescent="0.25">
      <c r="B65" s="74">
        <v>234367</v>
      </c>
      <c r="C65" s="74">
        <v>3133</v>
      </c>
      <c r="D65" s="74" t="s">
        <v>304</v>
      </c>
      <c r="E65" s="75"/>
      <c r="F65" s="91">
        <v>0</v>
      </c>
      <c r="G65" s="91">
        <v>0</v>
      </c>
      <c r="H65" s="91">
        <v>0</v>
      </c>
      <c r="I65" s="91"/>
      <c r="J65" s="93">
        <v>0</v>
      </c>
      <c r="K65" s="62"/>
    </row>
    <row r="66" spans="2:11" x14ac:dyDescent="0.25">
      <c r="B66" s="87"/>
      <c r="C66" s="87" t="s">
        <v>71</v>
      </c>
      <c r="D66" s="87" t="s">
        <v>181</v>
      </c>
      <c r="E66" s="88"/>
      <c r="F66" s="89">
        <f>F67+F69+F71</f>
        <v>25483</v>
      </c>
      <c r="G66" s="89">
        <v>25483</v>
      </c>
      <c r="H66" s="89">
        <f>H67+H69+H71</f>
        <v>15185.6</v>
      </c>
      <c r="I66" s="204">
        <f t="shared" si="0"/>
        <v>59.591099948985601</v>
      </c>
      <c r="J66" s="205"/>
      <c r="K66" s="62"/>
    </row>
    <row r="67" spans="2:11" ht="28.5" customHeight="1" x14ac:dyDescent="0.25">
      <c r="B67" s="87"/>
      <c r="C67" s="87" t="s">
        <v>72</v>
      </c>
      <c r="D67" s="87" t="s">
        <v>182</v>
      </c>
      <c r="E67" s="88"/>
      <c r="F67" s="89">
        <v>22430.37</v>
      </c>
      <c r="G67" s="89">
        <v>22430.37</v>
      </c>
      <c r="H67" s="89">
        <v>14485.6</v>
      </c>
      <c r="I67" s="204">
        <f t="shared" si="0"/>
        <v>64.580298942906438</v>
      </c>
      <c r="J67" s="205"/>
      <c r="K67" s="62"/>
    </row>
    <row r="68" spans="2:11" ht="36" customHeight="1" x14ac:dyDescent="0.25">
      <c r="B68" s="74">
        <v>234368</v>
      </c>
      <c r="C68" s="74" t="s">
        <v>74</v>
      </c>
      <c r="D68" s="74" t="s">
        <v>234</v>
      </c>
      <c r="E68" s="75" t="s">
        <v>225</v>
      </c>
      <c r="F68" s="91">
        <v>22430.37</v>
      </c>
      <c r="G68" s="91">
        <v>22430.37</v>
      </c>
      <c r="H68" s="91">
        <v>14485.6</v>
      </c>
      <c r="I68" s="204">
        <f t="shared" si="0"/>
        <v>64.580298942906438</v>
      </c>
      <c r="J68" s="205"/>
      <c r="K68" s="62"/>
    </row>
    <row r="69" spans="2:11" x14ac:dyDescent="0.25">
      <c r="B69" s="87"/>
      <c r="C69" s="87" t="s">
        <v>93</v>
      </c>
      <c r="D69" s="87" t="s">
        <v>193</v>
      </c>
      <c r="E69" s="88"/>
      <c r="F69" s="89">
        <v>132.72</v>
      </c>
      <c r="G69" s="89">
        <v>132.72</v>
      </c>
      <c r="H69" s="89">
        <v>0</v>
      </c>
      <c r="I69" s="204">
        <f t="shared" si="0"/>
        <v>0</v>
      </c>
      <c r="J69" s="205"/>
      <c r="K69" s="62"/>
    </row>
    <row r="70" spans="2:11" x14ac:dyDescent="0.25">
      <c r="B70" s="74">
        <v>234369</v>
      </c>
      <c r="C70" s="74" t="s">
        <v>107</v>
      </c>
      <c r="D70" s="74" t="s">
        <v>201</v>
      </c>
      <c r="E70" s="75" t="s">
        <v>225</v>
      </c>
      <c r="F70" s="91">
        <v>132.72</v>
      </c>
      <c r="G70" s="91">
        <v>132.72</v>
      </c>
      <c r="H70" s="91">
        <v>0</v>
      </c>
      <c r="I70" s="204">
        <f t="shared" si="0"/>
        <v>0</v>
      </c>
      <c r="J70" s="205"/>
      <c r="K70" s="62"/>
    </row>
    <row r="71" spans="2:11" ht="27" customHeight="1" x14ac:dyDescent="0.25">
      <c r="B71" s="74"/>
      <c r="C71" s="87">
        <v>329</v>
      </c>
      <c r="D71" s="87" t="s">
        <v>204</v>
      </c>
      <c r="E71" s="88"/>
      <c r="F71" s="89">
        <v>2919.91</v>
      </c>
      <c r="G71" s="89">
        <v>2919.91</v>
      </c>
      <c r="H71" s="89">
        <v>700</v>
      </c>
      <c r="I71" s="89"/>
      <c r="J71" s="94">
        <v>23.97</v>
      </c>
      <c r="K71" s="65"/>
    </row>
    <row r="72" spans="2:11" x14ac:dyDescent="0.25">
      <c r="B72" s="74">
        <v>234370</v>
      </c>
      <c r="C72" s="74">
        <v>3295</v>
      </c>
      <c r="D72" s="74" t="s">
        <v>209</v>
      </c>
      <c r="E72" s="75">
        <v>53082</v>
      </c>
      <c r="F72" s="91"/>
      <c r="G72" s="91"/>
      <c r="H72" s="91">
        <v>700</v>
      </c>
      <c r="I72" s="91"/>
      <c r="J72" s="93"/>
      <c r="K72" s="62"/>
    </row>
    <row r="73" spans="2:11" ht="26.25" customHeight="1" x14ac:dyDescent="0.25">
      <c r="B73" s="74">
        <v>234371</v>
      </c>
      <c r="C73" s="74">
        <v>3296</v>
      </c>
      <c r="D73" s="74" t="s">
        <v>305</v>
      </c>
      <c r="E73" s="75">
        <v>53082</v>
      </c>
      <c r="F73" s="91"/>
      <c r="G73" s="91"/>
      <c r="H73" s="91">
        <v>0</v>
      </c>
      <c r="I73" s="91"/>
      <c r="J73" s="93"/>
      <c r="K73" s="62"/>
    </row>
    <row r="74" spans="2:11" x14ac:dyDescent="0.25">
      <c r="B74" s="74"/>
      <c r="C74" s="87">
        <v>34</v>
      </c>
      <c r="D74" s="87" t="s">
        <v>210</v>
      </c>
      <c r="E74" s="88"/>
      <c r="F74" s="89">
        <v>664</v>
      </c>
      <c r="G74" s="89">
        <v>664</v>
      </c>
      <c r="H74" s="89">
        <v>0</v>
      </c>
      <c r="I74" s="89"/>
      <c r="J74" s="98">
        <v>0</v>
      </c>
      <c r="K74" s="65"/>
    </row>
    <row r="75" spans="2:11" ht="26.25" customHeight="1" x14ac:dyDescent="0.25">
      <c r="B75" s="87"/>
      <c r="C75" s="87">
        <v>343</v>
      </c>
      <c r="D75" s="87" t="s">
        <v>211</v>
      </c>
      <c r="E75" s="88"/>
      <c r="F75" s="89">
        <v>664</v>
      </c>
      <c r="G75" s="89">
        <v>664</v>
      </c>
      <c r="H75" s="89">
        <v>0</v>
      </c>
      <c r="I75" s="89"/>
      <c r="J75" s="98">
        <v>0</v>
      </c>
      <c r="K75" s="65"/>
    </row>
    <row r="76" spans="2:11" x14ac:dyDescent="0.25">
      <c r="B76" s="74">
        <v>234372</v>
      </c>
      <c r="C76" s="74">
        <v>3433</v>
      </c>
      <c r="D76" s="74" t="s">
        <v>306</v>
      </c>
      <c r="E76" s="75"/>
      <c r="F76" s="91"/>
      <c r="G76" s="91"/>
      <c r="H76" s="91">
        <v>0</v>
      </c>
      <c r="I76" s="91"/>
      <c r="J76" s="95">
        <v>0</v>
      </c>
      <c r="K76" s="62"/>
    </row>
    <row r="77" spans="2:11" x14ac:dyDescent="0.25">
      <c r="B77" s="74"/>
      <c r="C77" s="74"/>
      <c r="D77" s="74"/>
      <c r="E77" s="75"/>
      <c r="F77" s="91"/>
      <c r="G77" s="91"/>
      <c r="H77" s="91"/>
      <c r="I77" s="91"/>
      <c r="J77" s="93"/>
      <c r="K77" s="62"/>
    </row>
    <row r="78" spans="2:11" ht="21" customHeight="1" x14ac:dyDescent="0.25">
      <c r="B78" s="77" t="s">
        <v>235</v>
      </c>
      <c r="C78" s="215" t="s">
        <v>236</v>
      </c>
      <c r="D78" s="216"/>
      <c r="E78" s="78"/>
      <c r="F78" s="79">
        <v>25018</v>
      </c>
      <c r="G78" s="79">
        <v>25018</v>
      </c>
      <c r="H78" s="79">
        <v>20049.63</v>
      </c>
      <c r="I78" s="217">
        <f t="shared" si="0"/>
        <v>80.140818610600377</v>
      </c>
      <c r="J78" s="216"/>
      <c r="K78" s="62"/>
    </row>
    <row r="79" spans="2:11" x14ac:dyDescent="0.25">
      <c r="B79" s="80"/>
      <c r="C79" s="218"/>
      <c r="D79" s="205"/>
      <c r="E79" s="81"/>
      <c r="F79" s="81"/>
      <c r="G79" s="81"/>
      <c r="H79" s="81"/>
      <c r="I79" s="204"/>
      <c r="J79" s="205"/>
      <c r="K79" s="62"/>
    </row>
    <row r="80" spans="2:11" x14ac:dyDescent="0.25">
      <c r="B80" s="82"/>
      <c r="C80" s="209" t="s">
        <v>177</v>
      </c>
      <c r="D80" s="210"/>
      <c r="E80" s="83"/>
      <c r="F80" s="83"/>
      <c r="G80" s="83"/>
      <c r="H80" s="83"/>
      <c r="I80" s="204"/>
      <c r="J80" s="205"/>
      <c r="K80" s="62"/>
    </row>
    <row r="81" spans="2:11" x14ac:dyDescent="0.25">
      <c r="B81" s="84" t="s">
        <v>237</v>
      </c>
      <c r="C81" s="211" t="s">
        <v>238</v>
      </c>
      <c r="D81" s="212"/>
      <c r="E81" s="85"/>
      <c r="F81" s="86">
        <v>25018</v>
      </c>
      <c r="G81" s="86">
        <v>25018</v>
      </c>
      <c r="H81" s="86">
        <v>20049.63</v>
      </c>
      <c r="I81" s="213">
        <f t="shared" si="0"/>
        <v>80.140818610600377</v>
      </c>
      <c r="J81" s="214"/>
      <c r="K81" s="62"/>
    </row>
    <row r="82" spans="2:11" x14ac:dyDescent="0.25">
      <c r="B82" s="87"/>
      <c r="C82" s="87" t="s">
        <v>60</v>
      </c>
      <c r="D82" s="87" t="s">
        <v>180</v>
      </c>
      <c r="E82" s="88"/>
      <c r="F82" s="89">
        <v>25018</v>
      </c>
      <c r="G82" s="89">
        <v>25018</v>
      </c>
      <c r="H82" s="89">
        <v>20049.63</v>
      </c>
      <c r="I82" s="204">
        <f t="shared" si="0"/>
        <v>80.140818610600377</v>
      </c>
      <c r="J82" s="205"/>
      <c r="K82" s="62"/>
    </row>
    <row r="83" spans="2:11" x14ac:dyDescent="0.25">
      <c r="B83" s="87"/>
      <c r="C83" s="87" t="s">
        <v>71</v>
      </c>
      <c r="D83" s="87" t="s">
        <v>181</v>
      </c>
      <c r="E83" s="88"/>
      <c r="F83" s="89">
        <v>25018</v>
      </c>
      <c r="G83" s="89">
        <v>25018</v>
      </c>
      <c r="H83" s="89">
        <v>20049.63</v>
      </c>
      <c r="I83" s="204">
        <f t="shared" si="0"/>
        <v>80.140818610600377</v>
      </c>
      <c r="J83" s="205"/>
      <c r="K83" s="62"/>
    </row>
    <row r="84" spans="2:11" ht="23.25" customHeight="1" x14ac:dyDescent="0.25">
      <c r="B84" s="87"/>
      <c r="C84" s="87" t="s">
        <v>79</v>
      </c>
      <c r="D84" s="87" t="s">
        <v>188</v>
      </c>
      <c r="E84" s="88"/>
      <c r="F84" s="89">
        <v>23890.11</v>
      </c>
      <c r="G84" s="89">
        <v>23890.11</v>
      </c>
      <c r="H84" s="89">
        <v>19473.59</v>
      </c>
      <c r="I84" s="204">
        <f t="shared" si="0"/>
        <v>81.513186837565826</v>
      </c>
      <c r="J84" s="205"/>
      <c r="K84" s="62"/>
    </row>
    <row r="85" spans="2:11" x14ac:dyDescent="0.25">
      <c r="B85" s="74">
        <v>234373</v>
      </c>
      <c r="C85" s="74" t="s">
        <v>85</v>
      </c>
      <c r="D85" s="74" t="s">
        <v>239</v>
      </c>
      <c r="E85" s="75" t="s">
        <v>240</v>
      </c>
      <c r="F85" s="91">
        <v>23890.11</v>
      </c>
      <c r="G85" s="91">
        <v>23890.11</v>
      </c>
      <c r="H85" s="91">
        <v>19473.59</v>
      </c>
      <c r="I85" s="204">
        <f t="shared" si="0"/>
        <v>81.513186837565826</v>
      </c>
      <c r="J85" s="205"/>
      <c r="K85" s="62"/>
    </row>
    <row r="86" spans="2:11" ht="24" customHeight="1" x14ac:dyDescent="0.25">
      <c r="B86" s="87"/>
      <c r="C86" s="87" t="s">
        <v>113</v>
      </c>
      <c r="D86" s="87" t="s">
        <v>204</v>
      </c>
      <c r="E86" s="88"/>
      <c r="F86" s="89">
        <v>1127.8900000000001</v>
      </c>
      <c r="G86" s="89">
        <v>1127.8900000000001</v>
      </c>
      <c r="H86" s="89">
        <v>576.04</v>
      </c>
      <c r="I86" s="204">
        <f t="shared" ref="I86:I128" si="1">+H86/G86*100</f>
        <v>51.072356346806856</v>
      </c>
      <c r="J86" s="205"/>
      <c r="K86" s="62"/>
    </row>
    <row r="87" spans="2:11" x14ac:dyDescent="0.25">
      <c r="B87" s="74">
        <v>234374</v>
      </c>
      <c r="C87" s="74" t="s">
        <v>115</v>
      </c>
      <c r="D87" s="74" t="s">
        <v>241</v>
      </c>
      <c r="E87" s="75" t="s">
        <v>240</v>
      </c>
      <c r="F87" s="91">
        <v>1127.8900000000001</v>
      </c>
      <c r="G87" s="91">
        <v>1127.8900000000001</v>
      </c>
      <c r="H87" s="91">
        <v>576.04</v>
      </c>
      <c r="I87" s="204">
        <f t="shared" si="1"/>
        <v>51.072356346806856</v>
      </c>
      <c r="J87" s="205"/>
      <c r="K87" s="62"/>
    </row>
    <row r="88" spans="2:11" x14ac:dyDescent="0.25">
      <c r="B88" s="77" t="s">
        <v>242</v>
      </c>
      <c r="C88" s="215" t="s">
        <v>243</v>
      </c>
      <c r="D88" s="216"/>
      <c r="E88" s="78"/>
      <c r="F88" s="79">
        <v>164830</v>
      </c>
      <c r="G88" s="79">
        <v>164830</v>
      </c>
      <c r="H88" s="79">
        <v>64399.34</v>
      </c>
      <c r="I88" s="217">
        <f t="shared" si="1"/>
        <v>39.070157131590122</v>
      </c>
      <c r="J88" s="216"/>
      <c r="K88" s="62"/>
    </row>
    <row r="89" spans="2:11" x14ac:dyDescent="0.25">
      <c r="B89" s="80"/>
      <c r="C89" s="218"/>
      <c r="D89" s="205"/>
      <c r="E89" s="81"/>
      <c r="F89" s="81"/>
      <c r="G89" s="81"/>
      <c r="H89" s="81"/>
      <c r="I89" s="204"/>
      <c r="J89" s="205"/>
      <c r="K89" s="62"/>
    </row>
    <row r="90" spans="2:11" x14ac:dyDescent="0.25">
      <c r="B90" s="82"/>
      <c r="C90" s="209" t="s">
        <v>177</v>
      </c>
      <c r="D90" s="210"/>
      <c r="E90" s="83"/>
      <c r="F90" s="83"/>
      <c r="G90" s="83"/>
      <c r="H90" s="83"/>
      <c r="I90" s="204"/>
      <c r="J90" s="205"/>
      <c r="K90" s="62"/>
    </row>
    <row r="91" spans="2:11" x14ac:dyDescent="0.25">
      <c r="B91" s="84" t="s">
        <v>244</v>
      </c>
      <c r="C91" s="211" t="s">
        <v>245</v>
      </c>
      <c r="D91" s="212"/>
      <c r="E91" s="85"/>
      <c r="F91" s="86">
        <v>61192</v>
      </c>
      <c r="G91" s="86">
        <v>61192</v>
      </c>
      <c r="H91" s="86">
        <v>15639.32</v>
      </c>
      <c r="I91" s="213">
        <f t="shared" si="1"/>
        <v>25.557785331415872</v>
      </c>
      <c r="J91" s="214"/>
      <c r="K91" s="62"/>
    </row>
    <row r="92" spans="2:11" x14ac:dyDescent="0.25">
      <c r="B92" s="87"/>
      <c r="C92" s="87" t="s">
        <v>60</v>
      </c>
      <c r="D92" s="87" t="s">
        <v>180</v>
      </c>
      <c r="E92" s="88"/>
      <c r="F92" s="89">
        <v>61192</v>
      </c>
      <c r="G92" s="89">
        <v>61192</v>
      </c>
      <c r="H92" s="89">
        <v>15639.32</v>
      </c>
      <c r="I92" s="204">
        <f t="shared" si="1"/>
        <v>25.557785331415872</v>
      </c>
      <c r="J92" s="205"/>
      <c r="K92" s="62"/>
    </row>
    <row r="93" spans="2:11" x14ac:dyDescent="0.25">
      <c r="B93" s="87"/>
      <c r="C93" s="87" t="s">
        <v>71</v>
      </c>
      <c r="D93" s="87" t="s">
        <v>181</v>
      </c>
      <c r="E93" s="88"/>
      <c r="F93" s="89">
        <f>F94+F98+F106</f>
        <v>61032.000000000007</v>
      </c>
      <c r="G93" s="89">
        <f>G94+G98+G106</f>
        <v>61032.000000000007</v>
      </c>
      <c r="H93" s="89">
        <f>H94+H98+H106</f>
        <v>15479.32</v>
      </c>
      <c r="I93" s="204">
        <f t="shared" si="1"/>
        <v>25.36262944029361</v>
      </c>
      <c r="J93" s="205"/>
      <c r="K93" s="62"/>
    </row>
    <row r="94" spans="2:11" ht="26.25" customHeight="1" x14ac:dyDescent="0.25">
      <c r="B94" s="87"/>
      <c r="C94" s="87" t="s">
        <v>72</v>
      </c>
      <c r="D94" s="87" t="s">
        <v>182</v>
      </c>
      <c r="E94" s="88"/>
      <c r="F94" s="89">
        <v>185.8</v>
      </c>
      <c r="G94" s="89">
        <v>185.8</v>
      </c>
      <c r="H94" s="89">
        <v>0</v>
      </c>
      <c r="I94" s="204">
        <f t="shared" si="1"/>
        <v>0</v>
      </c>
      <c r="J94" s="205"/>
      <c r="K94" s="62"/>
    </row>
    <row r="95" spans="2:11" x14ac:dyDescent="0.25">
      <c r="B95" s="74">
        <v>234375</v>
      </c>
      <c r="C95" s="74" t="s">
        <v>73</v>
      </c>
      <c r="D95" s="74" t="s">
        <v>184</v>
      </c>
      <c r="E95" s="75" t="s">
        <v>246</v>
      </c>
      <c r="F95" s="91"/>
      <c r="G95" s="91"/>
      <c r="H95" s="91">
        <v>0</v>
      </c>
      <c r="I95" s="204">
        <v>0</v>
      </c>
      <c r="J95" s="205"/>
      <c r="K95" s="62"/>
    </row>
    <row r="96" spans="2:11" ht="20.25" customHeight="1" x14ac:dyDescent="0.25">
      <c r="B96" s="74">
        <v>234376</v>
      </c>
      <c r="C96" s="74">
        <v>3213</v>
      </c>
      <c r="D96" s="74" t="s">
        <v>187</v>
      </c>
      <c r="E96" s="75">
        <v>47300</v>
      </c>
      <c r="F96" s="91"/>
      <c r="G96" s="91"/>
      <c r="H96" s="91">
        <v>0</v>
      </c>
      <c r="I96" s="91"/>
      <c r="J96" s="95">
        <v>0</v>
      </c>
      <c r="K96" s="66"/>
    </row>
    <row r="97" spans="2:11" ht="30.75" customHeight="1" x14ac:dyDescent="0.25">
      <c r="B97" s="74">
        <v>234377</v>
      </c>
      <c r="C97" s="74">
        <v>3214</v>
      </c>
      <c r="D97" s="74" t="s">
        <v>268</v>
      </c>
      <c r="E97" s="75">
        <v>47600</v>
      </c>
      <c r="F97" s="91"/>
      <c r="G97" s="91"/>
      <c r="H97" s="91">
        <v>0</v>
      </c>
      <c r="I97" s="91"/>
      <c r="J97" s="95">
        <v>0</v>
      </c>
      <c r="K97" s="66"/>
    </row>
    <row r="98" spans="2:11" ht="22.5" customHeight="1" x14ac:dyDescent="0.25">
      <c r="B98" s="87"/>
      <c r="C98" s="87" t="s">
        <v>79</v>
      </c>
      <c r="D98" s="87" t="s">
        <v>188</v>
      </c>
      <c r="E98" s="88"/>
      <c r="F98" s="89">
        <v>58404.08</v>
      </c>
      <c r="G98" s="89">
        <v>58404.08</v>
      </c>
      <c r="H98" s="89">
        <v>13708.05</v>
      </c>
      <c r="I98" s="204">
        <f t="shared" si="1"/>
        <v>23.471048597974661</v>
      </c>
      <c r="J98" s="205"/>
      <c r="K98" s="62"/>
    </row>
    <row r="99" spans="2:11" ht="30" customHeight="1" x14ac:dyDescent="0.25">
      <c r="B99" s="74">
        <v>234378</v>
      </c>
      <c r="C99" s="74" t="s">
        <v>81</v>
      </c>
      <c r="D99" s="74" t="s">
        <v>190</v>
      </c>
      <c r="E99" s="75" t="s">
        <v>246</v>
      </c>
      <c r="F99" s="91"/>
      <c r="G99" s="91"/>
      <c r="H99" s="91">
        <v>132.72</v>
      </c>
      <c r="I99" s="204"/>
      <c r="J99" s="205"/>
      <c r="K99" s="62"/>
    </row>
    <row r="100" spans="2:11" x14ac:dyDescent="0.25">
      <c r="B100" s="74">
        <v>234379</v>
      </c>
      <c r="C100" s="74" t="s">
        <v>83</v>
      </c>
      <c r="D100" s="74" t="s">
        <v>247</v>
      </c>
      <c r="E100" s="75" t="s">
        <v>246</v>
      </c>
      <c r="F100" s="91"/>
      <c r="G100" s="91"/>
      <c r="H100" s="91">
        <v>9278.5499999999993</v>
      </c>
      <c r="I100" s="204">
        <v>0</v>
      </c>
      <c r="J100" s="205"/>
      <c r="K100" s="62"/>
    </row>
    <row r="101" spans="2:11" x14ac:dyDescent="0.25">
      <c r="B101" s="74">
        <v>234380</v>
      </c>
      <c r="C101" s="74">
        <v>3222</v>
      </c>
      <c r="D101" s="74" t="s">
        <v>247</v>
      </c>
      <c r="E101" s="75">
        <v>55516</v>
      </c>
      <c r="F101" s="91"/>
      <c r="G101" s="91"/>
      <c r="H101" s="91">
        <v>3407.32</v>
      </c>
      <c r="I101" s="91"/>
      <c r="J101" s="93"/>
      <c r="K101" s="62"/>
    </row>
    <row r="102" spans="2:11" x14ac:dyDescent="0.25">
      <c r="B102" s="74">
        <v>234381</v>
      </c>
      <c r="C102" s="74">
        <v>3222</v>
      </c>
      <c r="D102" s="74" t="s">
        <v>247</v>
      </c>
      <c r="E102" s="75">
        <v>55629</v>
      </c>
      <c r="F102" s="91"/>
      <c r="G102" s="91"/>
      <c r="H102" s="91">
        <v>184.44</v>
      </c>
      <c r="I102" s="91"/>
      <c r="J102" s="93"/>
      <c r="K102" s="62"/>
    </row>
    <row r="103" spans="2:11" x14ac:dyDescent="0.25">
      <c r="B103" s="74">
        <v>234382</v>
      </c>
      <c r="C103" s="74" t="s">
        <v>85</v>
      </c>
      <c r="D103" s="74" t="s">
        <v>239</v>
      </c>
      <c r="E103" s="75" t="s">
        <v>246</v>
      </c>
      <c r="F103" s="91">
        <v>0</v>
      </c>
      <c r="G103" s="91">
        <v>0</v>
      </c>
      <c r="H103" s="91">
        <v>270.55</v>
      </c>
      <c r="I103" s="204"/>
      <c r="J103" s="205"/>
      <c r="K103" s="62"/>
    </row>
    <row r="104" spans="2:11" ht="28.5" customHeight="1" x14ac:dyDescent="0.25">
      <c r="B104" s="74">
        <v>234383</v>
      </c>
      <c r="C104" s="74" t="s">
        <v>87</v>
      </c>
      <c r="D104" s="74" t="s">
        <v>192</v>
      </c>
      <c r="E104" s="75" t="s">
        <v>246</v>
      </c>
      <c r="F104" s="91">
        <v>0</v>
      </c>
      <c r="G104" s="91">
        <v>0</v>
      </c>
      <c r="H104" s="91">
        <v>265.45</v>
      </c>
      <c r="I104" s="204"/>
      <c r="J104" s="205"/>
      <c r="K104" s="62"/>
    </row>
    <row r="105" spans="2:11" ht="33.75" customHeight="1" x14ac:dyDescent="0.25">
      <c r="B105" s="74">
        <v>234384</v>
      </c>
      <c r="C105" s="74" t="s">
        <v>91</v>
      </c>
      <c r="D105" s="74" t="s">
        <v>248</v>
      </c>
      <c r="E105" s="75" t="s">
        <v>246</v>
      </c>
      <c r="F105" s="91">
        <v>265.45</v>
      </c>
      <c r="G105" s="91">
        <v>265.45</v>
      </c>
      <c r="H105" s="91">
        <v>169.02</v>
      </c>
      <c r="I105" s="204">
        <f t="shared" si="1"/>
        <v>63.673008099453767</v>
      </c>
      <c r="J105" s="205"/>
      <c r="K105" s="62"/>
    </row>
    <row r="106" spans="2:11" ht="24" customHeight="1" x14ac:dyDescent="0.25">
      <c r="B106" s="87"/>
      <c r="C106" s="87" t="s">
        <v>93</v>
      </c>
      <c r="D106" s="87" t="s">
        <v>193</v>
      </c>
      <c r="E106" s="88"/>
      <c r="F106" s="89">
        <v>2442.12</v>
      </c>
      <c r="G106" s="89">
        <v>2442.12</v>
      </c>
      <c r="H106" s="89">
        <v>1771.27</v>
      </c>
      <c r="I106" s="204">
        <f t="shared" si="1"/>
        <v>72.530014905082467</v>
      </c>
      <c r="J106" s="205"/>
      <c r="K106" s="62"/>
    </row>
    <row r="107" spans="2:11" ht="27" customHeight="1" x14ac:dyDescent="0.25">
      <c r="B107" s="74">
        <v>234385</v>
      </c>
      <c r="C107" s="74" t="s">
        <v>95</v>
      </c>
      <c r="D107" s="74" t="s">
        <v>195</v>
      </c>
      <c r="E107" s="75" t="s">
        <v>246</v>
      </c>
      <c r="F107" s="91">
        <v>0</v>
      </c>
      <c r="G107" s="91">
        <v>0</v>
      </c>
      <c r="H107" s="91">
        <v>132.72</v>
      </c>
      <c r="I107" s="204"/>
      <c r="J107" s="205"/>
      <c r="K107" s="62"/>
    </row>
    <row r="108" spans="2:11" ht="32.25" customHeight="1" x14ac:dyDescent="0.25">
      <c r="B108" s="74">
        <v>234386</v>
      </c>
      <c r="C108" s="74" t="s">
        <v>97</v>
      </c>
      <c r="D108" s="74" t="s">
        <v>197</v>
      </c>
      <c r="E108" s="75" t="s">
        <v>246</v>
      </c>
      <c r="F108" s="91">
        <v>265.45</v>
      </c>
      <c r="G108" s="91">
        <v>265.45</v>
      </c>
      <c r="H108" s="91">
        <v>72.290000000000006</v>
      </c>
      <c r="I108" s="204">
        <f t="shared" si="1"/>
        <v>27.233000565078175</v>
      </c>
      <c r="J108" s="205"/>
      <c r="K108" s="62"/>
    </row>
    <row r="109" spans="2:11" ht="33" customHeight="1" x14ac:dyDescent="0.25">
      <c r="B109" s="74">
        <v>234387</v>
      </c>
      <c r="C109" s="74" t="s">
        <v>105</v>
      </c>
      <c r="D109" s="74" t="s">
        <v>217</v>
      </c>
      <c r="E109" s="75" t="s">
        <v>246</v>
      </c>
      <c r="F109" s="91">
        <v>0</v>
      </c>
      <c r="G109" s="91">
        <v>0</v>
      </c>
      <c r="H109" s="91">
        <v>444.02</v>
      </c>
      <c r="I109" s="204"/>
      <c r="J109" s="205"/>
      <c r="K109" s="62"/>
    </row>
    <row r="110" spans="2:11" x14ac:dyDescent="0.25">
      <c r="B110" s="74">
        <v>234388</v>
      </c>
      <c r="C110" s="74" t="s">
        <v>109</v>
      </c>
      <c r="D110" s="74" t="s">
        <v>203</v>
      </c>
      <c r="E110" s="75">
        <v>47300</v>
      </c>
      <c r="F110" s="91">
        <v>0</v>
      </c>
      <c r="G110" s="91">
        <v>0</v>
      </c>
      <c r="H110" s="91">
        <v>132.75</v>
      </c>
      <c r="I110" s="204"/>
      <c r="J110" s="205"/>
      <c r="K110" s="62"/>
    </row>
    <row r="111" spans="2:11" x14ac:dyDescent="0.25">
      <c r="B111" s="87"/>
      <c r="C111" s="87" t="s">
        <v>124</v>
      </c>
      <c r="D111" s="87" t="s">
        <v>210</v>
      </c>
      <c r="E111" s="88"/>
      <c r="F111" s="89">
        <v>160</v>
      </c>
      <c r="G111" s="89">
        <v>160</v>
      </c>
      <c r="H111" s="89">
        <v>160</v>
      </c>
      <c r="I111" s="204">
        <f t="shared" si="1"/>
        <v>100</v>
      </c>
      <c r="J111" s="205"/>
      <c r="K111" s="62"/>
    </row>
    <row r="112" spans="2:11" ht="27" customHeight="1" x14ac:dyDescent="0.25">
      <c r="B112" s="87"/>
      <c r="C112" s="87" t="s">
        <v>126</v>
      </c>
      <c r="D112" s="87" t="s">
        <v>211</v>
      </c>
      <c r="E112" s="88"/>
      <c r="F112" s="89">
        <v>160</v>
      </c>
      <c r="G112" s="89">
        <v>160</v>
      </c>
      <c r="H112" s="89">
        <v>160</v>
      </c>
      <c r="I112" s="204">
        <f t="shared" si="1"/>
        <v>100</v>
      </c>
      <c r="J112" s="205"/>
      <c r="K112" s="62"/>
    </row>
    <row r="113" spans="2:11" ht="30" customHeight="1" x14ac:dyDescent="0.25">
      <c r="B113" s="74">
        <v>234389</v>
      </c>
      <c r="C113" s="74" t="s">
        <v>128</v>
      </c>
      <c r="D113" s="74" t="s">
        <v>213</v>
      </c>
      <c r="E113" s="75" t="s">
        <v>246</v>
      </c>
      <c r="F113" s="91">
        <v>160</v>
      </c>
      <c r="G113" s="91">
        <v>160</v>
      </c>
      <c r="H113" s="91">
        <v>160</v>
      </c>
      <c r="I113" s="204">
        <f t="shared" si="1"/>
        <v>100</v>
      </c>
      <c r="J113" s="205"/>
      <c r="K113" s="62"/>
    </row>
    <row r="114" spans="2:11" x14ac:dyDescent="0.25">
      <c r="B114" s="82"/>
      <c r="C114" s="209" t="s">
        <v>177</v>
      </c>
      <c r="D114" s="210"/>
      <c r="E114" s="83"/>
      <c r="F114" s="83"/>
      <c r="G114" s="83"/>
      <c r="H114" s="83"/>
      <c r="I114" s="204"/>
      <c r="J114" s="205"/>
      <c r="K114" s="62"/>
    </row>
    <row r="115" spans="2:11" x14ac:dyDescent="0.25">
      <c r="B115" s="84" t="s">
        <v>251</v>
      </c>
      <c r="C115" s="211" t="s">
        <v>252</v>
      </c>
      <c r="D115" s="212"/>
      <c r="E115" s="85"/>
      <c r="F115" s="86">
        <v>87650</v>
      </c>
      <c r="G115" s="86">
        <v>87650</v>
      </c>
      <c r="H115" s="86">
        <v>43562</v>
      </c>
      <c r="I115" s="213">
        <f t="shared" si="1"/>
        <v>49.6999429549344</v>
      </c>
      <c r="J115" s="214"/>
      <c r="K115" s="62"/>
    </row>
    <row r="116" spans="2:11" ht="25.5" customHeight="1" x14ac:dyDescent="0.25">
      <c r="B116" s="87"/>
      <c r="C116" s="87" t="s">
        <v>60</v>
      </c>
      <c r="D116" s="87" t="s">
        <v>180</v>
      </c>
      <c r="E116" s="88"/>
      <c r="F116" s="89">
        <f>F117+F127</f>
        <v>87650</v>
      </c>
      <c r="G116" s="89">
        <v>87650</v>
      </c>
      <c r="H116" s="89">
        <v>43562</v>
      </c>
      <c r="I116" s="204">
        <f t="shared" si="1"/>
        <v>49.6999429549344</v>
      </c>
      <c r="J116" s="205"/>
      <c r="K116" s="62"/>
    </row>
    <row r="117" spans="2:11" ht="26.25" customHeight="1" x14ac:dyDescent="0.25">
      <c r="B117" s="87"/>
      <c r="C117" s="87" t="s">
        <v>61</v>
      </c>
      <c r="D117" s="87" t="s">
        <v>228</v>
      </c>
      <c r="E117" s="88"/>
      <c r="F117" s="89">
        <f>F118+F121+F124</f>
        <v>84250</v>
      </c>
      <c r="G117" s="89">
        <f>G118+G121+G124</f>
        <v>84250</v>
      </c>
      <c r="H117" s="89">
        <f>H118+H121+H124</f>
        <v>43282.44</v>
      </c>
      <c r="I117" s="204">
        <f t="shared" si="1"/>
        <v>51.373816023738868</v>
      </c>
      <c r="J117" s="205"/>
      <c r="K117" s="62"/>
    </row>
    <row r="118" spans="2:11" x14ac:dyDescent="0.25">
      <c r="B118" s="87"/>
      <c r="C118" s="87" t="s">
        <v>62</v>
      </c>
      <c r="D118" s="87" t="s">
        <v>229</v>
      </c>
      <c r="E118" s="88"/>
      <c r="F118" s="89">
        <v>64607.03</v>
      </c>
      <c r="G118" s="89">
        <v>64607.03</v>
      </c>
      <c r="H118" s="89">
        <v>35864.76</v>
      </c>
      <c r="I118" s="204">
        <f t="shared" si="1"/>
        <v>55.512163304829222</v>
      </c>
      <c r="J118" s="205"/>
      <c r="K118" s="62"/>
    </row>
    <row r="119" spans="2:11" x14ac:dyDescent="0.25">
      <c r="B119" s="74">
        <v>234390</v>
      </c>
      <c r="C119" s="74">
        <v>3111</v>
      </c>
      <c r="D119" s="74" t="s">
        <v>230</v>
      </c>
      <c r="E119" s="75">
        <v>55629</v>
      </c>
      <c r="F119" s="91"/>
      <c r="G119" s="91"/>
      <c r="H119" s="91">
        <v>11530.52</v>
      </c>
      <c r="I119" s="91"/>
      <c r="J119" s="93"/>
      <c r="K119" s="62"/>
    </row>
    <row r="120" spans="2:11" x14ac:dyDescent="0.25">
      <c r="B120" s="74">
        <v>234391</v>
      </c>
      <c r="C120" s="74" t="s">
        <v>63</v>
      </c>
      <c r="D120" s="74" t="s">
        <v>230</v>
      </c>
      <c r="E120" s="75">
        <v>55516</v>
      </c>
      <c r="F120" s="91">
        <v>0</v>
      </c>
      <c r="G120" s="91">
        <v>0</v>
      </c>
      <c r="H120" s="91">
        <v>24334.240000000002</v>
      </c>
      <c r="I120" s="204"/>
      <c r="J120" s="205"/>
      <c r="K120" s="62"/>
    </row>
    <row r="121" spans="2:11" x14ac:dyDescent="0.25">
      <c r="B121" s="87"/>
      <c r="C121" s="87" t="s">
        <v>64</v>
      </c>
      <c r="D121" s="87" t="s">
        <v>231</v>
      </c>
      <c r="E121" s="88"/>
      <c r="F121" s="89">
        <v>9290.6</v>
      </c>
      <c r="G121" s="89">
        <v>9290.6</v>
      </c>
      <c r="H121" s="89">
        <v>1500</v>
      </c>
      <c r="I121" s="204">
        <f t="shared" si="1"/>
        <v>16.14535121520677</v>
      </c>
      <c r="J121" s="205"/>
      <c r="K121" s="62"/>
    </row>
    <row r="122" spans="2:11" x14ac:dyDescent="0.25">
      <c r="B122" s="74">
        <v>234392</v>
      </c>
      <c r="C122" s="74">
        <v>3121</v>
      </c>
      <c r="D122" s="74" t="s">
        <v>231</v>
      </c>
      <c r="E122" s="75">
        <v>55629</v>
      </c>
      <c r="F122" s="91"/>
      <c r="G122" s="91"/>
      <c r="H122" s="91">
        <v>482.25</v>
      </c>
      <c r="I122" s="91"/>
      <c r="J122" s="93"/>
      <c r="K122" s="62"/>
    </row>
    <row r="123" spans="2:11" x14ac:dyDescent="0.25">
      <c r="B123" s="74">
        <v>234393</v>
      </c>
      <c r="C123" s="74" t="s">
        <v>66</v>
      </c>
      <c r="D123" s="74" t="s">
        <v>231</v>
      </c>
      <c r="E123" s="75">
        <v>55516</v>
      </c>
      <c r="F123" s="91">
        <v>0</v>
      </c>
      <c r="G123" s="91">
        <v>0</v>
      </c>
      <c r="H123" s="91">
        <v>1017.75</v>
      </c>
      <c r="I123" s="204"/>
      <c r="J123" s="205"/>
      <c r="K123" s="62"/>
    </row>
    <row r="124" spans="2:11" ht="25.5" customHeight="1" x14ac:dyDescent="0.25">
      <c r="B124" s="87"/>
      <c r="C124" s="87" t="s">
        <v>67</v>
      </c>
      <c r="D124" s="87" t="s">
        <v>232</v>
      </c>
      <c r="E124" s="88"/>
      <c r="F124" s="89">
        <v>10352.370000000001</v>
      </c>
      <c r="G124" s="89">
        <v>10352.370000000001</v>
      </c>
      <c r="H124" s="89">
        <v>5917.68</v>
      </c>
      <c r="I124" s="204">
        <f t="shared" si="1"/>
        <v>57.162562775480396</v>
      </c>
      <c r="J124" s="205"/>
      <c r="K124" s="62"/>
    </row>
    <row r="125" spans="2:11" ht="36.75" customHeight="1" x14ac:dyDescent="0.25">
      <c r="B125" s="74">
        <v>234394</v>
      </c>
      <c r="C125" s="74">
        <v>3132</v>
      </c>
      <c r="D125" s="74" t="s">
        <v>233</v>
      </c>
      <c r="E125" s="75">
        <v>55629</v>
      </c>
      <c r="F125" s="91"/>
      <c r="G125" s="91"/>
      <c r="H125" s="91">
        <v>1902.53</v>
      </c>
      <c r="I125" s="91"/>
      <c r="J125" s="93"/>
      <c r="K125" s="62"/>
    </row>
    <row r="126" spans="2:11" ht="36" customHeight="1" x14ac:dyDescent="0.25">
      <c r="B126" s="74">
        <v>234395</v>
      </c>
      <c r="C126" s="74" t="s">
        <v>69</v>
      </c>
      <c r="D126" s="74" t="s">
        <v>233</v>
      </c>
      <c r="E126" s="75">
        <v>55516</v>
      </c>
      <c r="F126" s="91">
        <v>0</v>
      </c>
      <c r="G126" s="91">
        <v>0</v>
      </c>
      <c r="H126" s="91">
        <v>4015.15</v>
      </c>
      <c r="I126" s="204"/>
      <c r="J126" s="205"/>
      <c r="K126" s="62"/>
    </row>
    <row r="127" spans="2:11" ht="21" customHeight="1" x14ac:dyDescent="0.25">
      <c r="B127" s="87"/>
      <c r="C127" s="87" t="s">
        <v>71</v>
      </c>
      <c r="D127" s="87" t="s">
        <v>181</v>
      </c>
      <c r="E127" s="88"/>
      <c r="F127" s="89">
        <v>3400</v>
      </c>
      <c r="G127" s="89">
        <v>3400</v>
      </c>
      <c r="H127" s="89">
        <v>279.56</v>
      </c>
      <c r="I127" s="204">
        <f t="shared" si="1"/>
        <v>8.2223529411764709</v>
      </c>
      <c r="J127" s="205"/>
      <c r="K127" s="62"/>
    </row>
    <row r="128" spans="2:11" ht="28.5" customHeight="1" x14ac:dyDescent="0.25">
      <c r="B128" s="87"/>
      <c r="C128" s="87" t="s">
        <v>72</v>
      </c>
      <c r="D128" s="87" t="s">
        <v>182</v>
      </c>
      <c r="E128" s="88"/>
      <c r="F128" s="89">
        <v>3400</v>
      </c>
      <c r="G128" s="89">
        <v>3400</v>
      </c>
      <c r="H128" s="89">
        <v>279.56</v>
      </c>
      <c r="I128" s="204">
        <f t="shared" si="1"/>
        <v>8.2223529411764709</v>
      </c>
      <c r="J128" s="205"/>
      <c r="K128" s="62"/>
    </row>
    <row r="129" spans="2:11" x14ac:dyDescent="0.25">
      <c r="B129" s="74">
        <v>234396</v>
      </c>
      <c r="C129" s="74" t="s">
        <v>73</v>
      </c>
      <c r="D129" s="74" t="s">
        <v>184</v>
      </c>
      <c r="E129" s="75">
        <v>55516</v>
      </c>
      <c r="F129" s="91"/>
      <c r="G129" s="91"/>
      <c r="H129" s="91">
        <v>0</v>
      </c>
      <c r="I129" s="204"/>
      <c r="J129" s="205"/>
      <c r="K129" s="62"/>
    </row>
    <row r="130" spans="2:11" ht="22.5" customHeight="1" x14ac:dyDescent="0.25">
      <c r="B130" s="74">
        <v>234397</v>
      </c>
      <c r="C130" s="74">
        <v>3211</v>
      </c>
      <c r="D130" s="74" t="s">
        <v>184</v>
      </c>
      <c r="E130" s="75">
        <v>55629</v>
      </c>
      <c r="F130" s="91"/>
      <c r="G130" s="91"/>
      <c r="H130" s="91">
        <v>0</v>
      </c>
      <c r="I130" s="91"/>
      <c r="J130" s="93"/>
      <c r="K130" s="62"/>
    </row>
    <row r="131" spans="2:11" ht="30" customHeight="1" x14ac:dyDescent="0.25">
      <c r="B131" s="74">
        <v>234398</v>
      </c>
      <c r="C131" s="74">
        <v>3212</v>
      </c>
      <c r="D131" s="74" t="s">
        <v>234</v>
      </c>
      <c r="E131" s="75">
        <v>55516</v>
      </c>
      <c r="F131" s="91"/>
      <c r="G131" s="91"/>
      <c r="H131" s="91">
        <v>41.53</v>
      </c>
      <c r="I131" s="91"/>
      <c r="J131" s="93"/>
      <c r="K131" s="62"/>
    </row>
    <row r="132" spans="2:11" ht="30" x14ac:dyDescent="0.25">
      <c r="B132" s="74">
        <v>234399</v>
      </c>
      <c r="C132" s="74" t="s">
        <v>74</v>
      </c>
      <c r="D132" s="74" t="s">
        <v>234</v>
      </c>
      <c r="E132" s="75">
        <v>55629</v>
      </c>
      <c r="F132" s="91">
        <v>0</v>
      </c>
      <c r="G132" s="91">
        <v>0</v>
      </c>
      <c r="H132" s="91">
        <v>238.03</v>
      </c>
      <c r="I132" s="204"/>
      <c r="J132" s="205"/>
      <c r="K132" s="62"/>
    </row>
    <row r="133" spans="2:11" x14ac:dyDescent="0.25">
      <c r="B133" s="82"/>
      <c r="C133" s="209" t="s">
        <v>177</v>
      </c>
      <c r="D133" s="210"/>
      <c r="E133" s="83"/>
      <c r="F133" s="83"/>
      <c r="G133" s="83"/>
      <c r="H133" s="83"/>
      <c r="I133" s="204"/>
      <c r="J133" s="205"/>
      <c r="K133" s="62"/>
    </row>
    <row r="134" spans="2:11" x14ac:dyDescent="0.25">
      <c r="B134" s="84" t="s">
        <v>256</v>
      </c>
      <c r="C134" s="211" t="s">
        <v>257</v>
      </c>
      <c r="D134" s="212"/>
      <c r="E134" s="85"/>
      <c r="F134" s="86">
        <v>1235</v>
      </c>
      <c r="G134" s="86">
        <v>1235</v>
      </c>
      <c r="H134" s="86">
        <v>0</v>
      </c>
      <c r="I134" s="213">
        <f t="shared" ref="I134:I163" si="2">+H134/G134*100</f>
        <v>0</v>
      </c>
      <c r="J134" s="214"/>
      <c r="K134" s="62"/>
    </row>
    <row r="135" spans="2:11" ht="23.25" customHeight="1" x14ac:dyDescent="0.25">
      <c r="B135" s="87"/>
      <c r="C135" s="87" t="s">
        <v>60</v>
      </c>
      <c r="D135" s="87" t="s">
        <v>180</v>
      </c>
      <c r="E135" s="88"/>
      <c r="F135" s="89">
        <v>1235</v>
      </c>
      <c r="G135" s="89">
        <v>1235</v>
      </c>
      <c r="H135" s="89">
        <v>0</v>
      </c>
      <c r="I135" s="204">
        <f t="shared" si="2"/>
        <v>0</v>
      </c>
      <c r="J135" s="205"/>
      <c r="K135" s="62"/>
    </row>
    <row r="136" spans="2:11" ht="21.75" customHeight="1" x14ac:dyDescent="0.25">
      <c r="B136" s="87"/>
      <c r="C136" s="87" t="s">
        <v>71</v>
      </c>
      <c r="D136" s="87" t="s">
        <v>181</v>
      </c>
      <c r="E136" s="88"/>
      <c r="F136" s="89">
        <v>1235</v>
      </c>
      <c r="G136" s="89">
        <v>1235</v>
      </c>
      <c r="H136" s="89">
        <v>0</v>
      </c>
      <c r="I136" s="204">
        <f t="shared" si="2"/>
        <v>0</v>
      </c>
      <c r="J136" s="205"/>
      <c r="K136" s="62"/>
    </row>
    <row r="137" spans="2:11" ht="21.75" customHeight="1" x14ac:dyDescent="0.25">
      <c r="B137" s="87"/>
      <c r="C137" s="87">
        <v>323</v>
      </c>
      <c r="D137" s="87" t="s">
        <v>193</v>
      </c>
      <c r="E137" s="88"/>
      <c r="F137" s="89">
        <v>1725</v>
      </c>
      <c r="G137" s="89">
        <v>1725</v>
      </c>
      <c r="H137" s="89">
        <v>0</v>
      </c>
      <c r="I137" s="204">
        <f t="shared" si="2"/>
        <v>0</v>
      </c>
      <c r="J137" s="205"/>
      <c r="K137" s="62"/>
    </row>
    <row r="138" spans="2:11" x14ac:dyDescent="0.25">
      <c r="B138" s="74">
        <v>234400</v>
      </c>
      <c r="C138" s="74">
        <v>3239</v>
      </c>
      <c r="D138" s="74" t="s">
        <v>249</v>
      </c>
      <c r="E138" s="75">
        <v>55629</v>
      </c>
      <c r="F138" s="91">
        <v>0</v>
      </c>
      <c r="G138" s="91">
        <v>0</v>
      </c>
      <c r="H138" s="91">
        <v>0</v>
      </c>
      <c r="I138" s="204"/>
      <c r="J138" s="205"/>
      <c r="K138" s="62"/>
    </row>
    <row r="139" spans="2:11" x14ac:dyDescent="0.25">
      <c r="B139" s="74">
        <v>234401</v>
      </c>
      <c r="C139" s="74">
        <v>3239</v>
      </c>
      <c r="D139" s="74" t="s">
        <v>249</v>
      </c>
      <c r="E139" s="75">
        <v>55516</v>
      </c>
      <c r="F139" s="91">
        <v>0</v>
      </c>
      <c r="G139" s="91">
        <v>0</v>
      </c>
      <c r="H139" s="91">
        <v>0</v>
      </c>
      <c r="I139" s="91">
        <v>0</v>
      </c>
      <c r="J139" s="93"/>
      <c r="K139" s="62"/>
    </row>
    <row r="140" spans="2:11" ht="18" customHeight="1" x14ac:dyDescent="0.25">
      <c r="B140" s="74"/>
      <c r="C140" s="105" t="s">
        <v>307</v>
      </c>
      <c r="D140" s="74">
        <v>912</v>
      </c>
      <c r="E140" s="75"/>
      <c r="F140" s="91"/>
      <c r="G140" s="91"/>
      <c r="H140" s="91"/>
      <c r="I140" s="91"/>
      <c r="J140" s="93"/>
      <c r="K140" s="62"/>
    </row>
    <row r="141" spans="2:11" x14ac:dyDescent="0.25">
      <c r="B141" s="84" t="s">
        <v>308</v>
      </c>
      <c r="C141" s="84"/>
      <c r="D141" s="84" t="s">
        <v>309</v>
      </c>
      <c r="E141" s="85"/>
      <c r="F141" s="86">
        <v>4500</v>
      </c>
      <c r="G141" s="86">
        <v>4500</v>
      </c>
      <c r="H141" s="86">
        <v>991.83</v>
      </c>
      <c r="I141" s="86"/>
      <c r="J141" s="96">
        <v>22.04</v>
      </c>
      <c r="K141" s="67"/>
    </row>
    <row r="142" spans="2:11" x14ac:dyDescent="0.25">
      <c r="B142" s="87"/>
      <c r="C142" s="87">
        <v>3</v>
      </c>
      <c r="D142" s="87" t="s">
        <v>180</v>
      </c>
      <c r="E142" s="88"/>
      <c r="F142" s="89">
        <f>F143</f>
        <v>4500</v>
      </c>
      <c r="G142" s="89">
        <f>G143</f>
        <v>4500</v>
      </c>
      <c r="H142" s="89">
        <v>991.83</v>
      </c>
      <c r="I142" s="89"/>
      <c r="J142" s="94"/>
      <c r="K142" s="68"/>
    </row>
    <row r="143" spans="2:11" x14ac:dyDescent="0.25">
      <c r="B143" s="87"/>
      <c r="C143" s="87">
        <v>32</v>
      </c>
      <c r="D143" s="87" t="s">
        <v>181</v>
      </c>
      <c r="E143" s="88"/>
      <c r="F143" s="89">
        <f>F144+F147+F150</f>
        <v>4500</v>
      </c>
      <c r="G143" s="89">
        <f>G144+G150+G147</f>
        <v>4500</v>
      </c>
      <c r="H143" s="89">
        <v>991.83</v>
      </c>
      <c r="I143" s="89"/>
      <c r="J143" s="94"/>
      <c r="K143" s="68"/>
    </row>
    <row r="144" spans="2:11" x14ac:dyDescent="0.25">
      <c r="B144" s="87"/>
      <c r="C144" s="87">
        <v>323</v>
      </c>
      <c r="D144" s="87" t="s">
        <v>193</v>
      </c>
      <c r="E144" s="88"/>
      <c r="F144" s="89">
        <v>3848.97</v>
      </c>
      <c r="G144" s="89">
        <v>3848.97</v>
      </c>
      <c r="H144" s="89">
        <v>991.83</v>
      </c>
      <c r="I144" s="89"/>
      <c r="J144" s="94">
        <v>25.77</v>
      </c>
      <c r="K144" s="69"/>
    </row>
    <row r="145" spans="2:11" x14ac:dyDescent="0.25">
      <c r="B145" s="74">
        <v>234402</v>
      </c>
      <c r="C145" s="74">
        <v>3237</v>
      </c>
      <c r="D145" s="74" t="s">
        <v>310</v>
      </c>
      <c r="E145" s="75">
        <v>55516</v>
      </c>
      <c r="F145" s="91"/>
      <c r="G145" s="91"/>
      <c r="H145" s="91">
        <v>672.96</v>
      </c>
      <c r="I145" s="91"/>
      <c r="J145" s="93"/>
      <c r="K145" s="62"/>
    </row>
    <row r="146" spans="2:11" x14ac:dyDescent="0.25">
      <c r="B146" s="74">
        <v>234403</v>
      </c>
      <c r="C146" s="74">
        <v>3237</v>
      </c>
      <c r="D146" s="74" t="s">
        <v>310</v>
      </c>
      <c r="E146" s="75">
        <v>55629</v>
      </c>
      <c r="F146" s="91"/>
      <c r="G146" s="91"/>
      <c r="H146" s="91">
        <v>318.87</v>
      </c>
      <c r="I146" s="91"/>
      <c r="J146" s="93"/>
      <c r="K146" s="62"/>
    </row>
    <row r="147" spans="2:11" ht="40.5" customHeight="1" x14ac:dyDescent="0.25">
      <c r="B147" s="87"/>
      <c r="C147" s="87">
        <v>324</v>
      </c>
      <c r="D147" s="87" t="s">
        <v>311</v>
      </c>
      <c r="E147" s="88"/>
      <c r="F147" s="89">
        <v>331.8</v>
      </c>
      <c r="G147" s="89">
        <v>331.8</v>
      </c>
      <c r="H147" s="89">
        <v>0</v>
      </c>
      <c r="I147" s="89"/>
      <c r="J147" s="94">
        <v>0</v>
      </c>
      <c r="K147" s="68"/>
    </row>
    <row r="148" spans="2:11" ht="36" customHeight="1" x14ac:dyDescent="0.25">
      <c r="B148" s="74">
        <v>234404</v>
      </c>
      <c r="C148" s="74">
        <v>3241</v>
      </c>
      <c r="D148" s="74" t="s">
        <v>311</v>
      </c>
      <c r="E148" s="75">
        <v>55516</v>
      </c>
      <c r="F148" s="91"/>
      <c r="G148" s="91"/>
      <c r="H148" s="91"/>
      <c r="I148" s="91"/>
      <c r="J148" s="93"/>
      <c r="K148" s="62"/>
    </row>
    <row r="149" spans="2:11" ht="36.75" customHeight="1" x14ac:dyDescent="0.25">
      <c r="B149" s="74">
        <v>234405</v>
      </c>
      <c r="C149" s="74">
        <v>3241</v>
      </c>
      <c r="D149" s="74" t="s">
        <v>311</v>
      </c>
      <c r="E149" s="75">
        <v>55629</v>
      </c>
      <c r="F149" s="91"/>
      <c r="G149" s="91"/>
      <c r="H149" s="91"/>
      <c r="I149" s="91"/>
      <c r="J149" s="93"/>
      <c r="K149" s="62"/>
    </row>
    <row r="150" spans="2:11" ht="23.25" customHeight="1" x14ac:dyDescent="0.25">
      <c r="B150" s="87"/>
      <c r="C150" s="87">
        <v>329</v>
      </c>
      <c r="D150" s="87" t="s">
        <v>204</v>
      </c>
      <c r="E150" s="88"/>
      <c r="F150" s="89">
        <v>319.23</v>
      </c>
      <c r="G150" s="89">
        <v>319.23</v>
      </c>
      <c r="H150" s="89">
        <v>0</v>
      </c>
      <c r="I150" s="89"/>
      <c r="J150" s="94">
        <v>0</v>
      </c>
      <c r="K150" s="68"/>
    </row>
    <row r="151" spans="2:11" x14ac:dyDescent="0.25">
      <c r="B151" s="74">
        <v>234406</v>
      </c>
      <c r="C151" s="74">
        <v>3299</v>
      </c>
      <c r="D151" s="74" t="s">
        <v>204</v>
      </c>
      <c r="E151" s="75">
        <v>55516</v>
      </c>
      <c r="F151" s="91"/>
      <c r="G151" s="91"/>
      <c r="H151" s="91"/>
      <c r="I151" s="91"/>
      <c r="J151" s="93"/>
      <c r="K151" s="62"/>
    </row>
    <row r="152" spans="2:11" x14ac:dyDescent="0.25">
      <c r="B152" s="74">
        <v>234407</v>
      </c>
      <c r="C152" s="74">
        <v>3299</v>
      </c>
      <c r="D152" s="74" t="s">
        <v>204</v>
      </c>
      <c r="E152" s="75">
        <v>55629</v>
      </c>
      <c r="F152" s="91"/>
      <c r="G152" s="91"/>
      <c r="H152" s="91"/>
      <c r="I152" s="91"/>
      <c r="J152" s="93"/>
      <c r="K152" s="62"/>
    </row>
    <row r="153" spans="2:11" x14ac:dyDescent="0.25">
      <c r="B153" s="82"/>
      <c r="C153" s="209" t="s">
        <v>253</v>
      </c>
      <c r="D153" s="210"/>
      <c r="E153" s="83"/>
      <c r="F153" s="83"/>
      <c r="G153" s="83"/>
      <c r="H153" s="83"/>
      <c r="I153" s="204"/>
      <c r="J153" s="205"/>
      <c r="K153" s="62"/>
    </row>
    <row r="154" spans="2:11" x14ac:dyDescent="0.25">
      <c r="B154" s="84" t="s">
        <v>263</v>
      </c>
      <c r="C154" s="211" t="s">
        <v>264</v>
      </c>
      <c r="D154" s="212"/>
      <c r="E154" s="85"/>
      <c r="F154" s="86">
        <v>660</v>
      </c>
      <c r="G154" s="86">
        <v>660</v>
      </c>
      <c r="H154" s="86">
        <v>0</v>
      </c>
      <c r="I154" s="213">
        <f t="shared" si="2"/>
        <v>0</v>
      </c>
      <c r="J154" s="214"/>
      <c r="K154" s="62"/>
    </row>
    <row r="155" spans="2:11" ht="23.25" customHeight="1" x14ac:dyDescent="0.25">
      <c r="B155" s="87"/>
      <c r="C155" s="87" t="s">
        <v>60</v>
      </c>
      <c r="D155" s="87" t="s">
        <v>180</v>
      </c>
      <c r="E155" s="88"/>
      <c r="F155" s="89">
        <v>660</v>
      </c>
      <c r="G155" s="89">
        <v>660</v>
      </c>
      <c r="H155" s="89">
        <v>0</v>
      </c>
      <c r="I155" s="204">
        <f t="shared" si="2"/>
        <v>0</v>
      </c>
      <c r="J155" s="205"/>
      <c r="K155" s="62"/>
    </row>
    <row r="156" spans="2:11" ht="20.25" customHeight="1" x14ac:dyDescent="0.25">
      <c r="B156" s="87"/>
      <c r="C156" s="87" t="s">
        <v>71</v>
      </c>
      <c r="D156" s="87" t="s">
        <v>181</v>
      </c>
      <c r="E156" s="88"/>
      <c r="F156" s="89">
        <v>660</v>
      </c>
      <c r="G156" s="89">
        <v>660</v>
      </c>
      <c r="H156" s="89">
        <v>0</v>
      </c>
      <c r="I156" s="204">
        <f t="shared" si="2"/>
        <v>0</v>
      </c>
      <c r="J156" s="205"/>
      <c r="K156" s="62"/>
    </row>
    <row r="157" spans="2:11" ht="27.75" customHeight="1" x14ac:dyDescent="0.25">
      <c r="B157" s="87"/>
      <c r="C157" s="87">
        <v>329</v>
      </c>
      <c r="D157" s="87" t="s">
        <v>204</v>
      </c>
      <c r="E157" s="88"/>
      <c r="F157" s="89">
        <v>660</v>
      </c>
      <c r="G157" s="89">
        <v>660</v>
      </c>
      <c r="H157" s="89">
        <v>0</v>
      </c>
      <c r="I157" s="204">
        <f t="shared" si="2"/>
        <v>0</v>
      </c>
      <c r="J157" s="205"/>
      <c r="K157" s="62"/>
    </row>
    <row r="158" spans="2:11" x14ac:dyDescent="0.25">
      <c r="B158" s="74">
        <v>234408</v>
      </c>
      <c r="C158" s="74">
        <v>3299</v>
      </c>
      <c r="D158" s="74" t="s">
        <v>204</v>
      </c>
      <c r="E158" s="75">
        <v>55516</v>
      </c>
      <c r="F158" s="89"/>
      <c r="G158" s="89"/>
      <c r="H158" s="89"/>
      <c r="I158" s="91"/>
      <c r="J158" s="93"/>
      <c r="K158" s="62"/>
    </row>
    <row r="159" spans="2:11" x14ac:dyDescent="0.25">
      <c r="B159" s="74">
        <v>234409</v>
      </c>
      <c r="C159" s="74">
        <v>3299</v>
      </c>
      <c r="D159" s="74" t="s">
        <v>204</v>
      </c>
      <c r="E159" s="75">
        <v>55629</v>
      </c>
      <c r="F159" s="91">
        <v>0</v>
      </c>
      <c r="G159" s="91">
        <v>0</v>
      </c>
      <c r="H159" s="91">
        <v>0</v>
      </c>
      <c r="I159" s="204"/>
      <c r="J159" s="205"/>
      <c r="K159" s="62"/>
    </row>
    <row r="160" spans="2:11" x14ac:dyDescent="0.25">
      <c r="B160" s="82"/>
      <c r="C160" s="209" t="s">
        <v>177</v>
      </c>
      <c r="D160" s="210"/>
      <c r="E160" s="83"/>
      <c r="F160" s="83"/>
      <c r="G160" s="83"/>
      <c r="H160" s="83"/>
      <c r="I160" s="204"/>
      <c r="J160" s="205"/>
      <c r="K160" s="62"/>
    </row>
    <row r="161" spans="2:11" x14ac:dyDescent="0.25">
      <c r="B161" s="84" t="s">
        <v>312</v>
      </c>
      <c r="C161" s="211" t="s">
        <v>313</v>
      </c>
      <c r="D161" s="212"/>
      <c r="E161" s="85"/>
      <c r="F161" s="86">
        <v>1980</v>
      </c>
      <c r="G161" s="86">
        <v>1980</v>
      </c>
      <c r="H161" s="86">
        <v>945.84</v>
      </c>
      <c r="I161" s="213">
        <f t="shared" si="2"/>
        <v>47.769696969696973</v>
      </c>
      <c r="J161" s="214"/>
      <c r="K161" s="62"/>
    </row>
    <row r="162" spans="2:11" x14ac:dyDescent="0.25">
      <c r="B162" s="87"/>
      <c r="C162" s="87" t="s">
        <v>60</v>
      </c>
      <c r="D162" s="87" t="s">
        <v>180</v>
      </c>
      <c r="E162" s="88"/>
      <c r="F162" s="89">
        <v>1980</v>
      </c>
      <c r="G162" s="89">
        <v>1980</v>
      </c>
      <c r="H162" s="89">
        <v>945.84</v>
      </c>
      <c r="I162" s="204">
        <f t="shared" si="2"/>
        <v>47.769696969696973</v>
      </c>
      <c r="J162" s="205"/>
      <c r="K162" s="62"/>
    </row>
    <row r="163" spans="2:11" x14ac:dyDescent="0.25">
      <c r="B163" s="87"/>
      <c r="C163" s="87" t="s">
        <v>71</v>
      </c>
      <c r="D163" s="87" t="s">
        <v>181</v>
      </c>
      <c r="E163" s="88"/>
      <c r="F163" s="89">
        <v>1980</v>
      </c>
      <c r="G163" s="89">
        <v>1980</v>
      </c>
      <c r="H163" s="89">
        <v>945.84</v>
      </c>
      <c r="I163" s="204">
        <f t="shared" si="2"/>
        <v>47.769696969696973</v>
      </c>
      <c r="J163" s="205"/>
      <c r="K163" s="62"/>
    </row>
    <row r="164" spans="2:11" ht="28.5" customHeight="1" x14ac:dyDescent="0.25">
      <c r="B164" s="87"/>
      <c r="C164" s="87">
        <v>321</v>
      </c>
      <c r="D164" s="87" t="s">
        <v>182</v>
      </c>
      <c r="E164" s="88"/>
      <c r="F164" s="89">
        <v>132.72</v>
      </c>
      <c r="G164" s="89">
        <v>132.72</v>
      </c>
      <c r="H164" s="89">
        <v>0</v>
      </c>
      <c r="I164" s="204">
        <f t="shared" ref="I164:I290" si="3">+H164/G164*100</f>
        <v>0</v>
      </c>
      <c r="J164" s="205"/>
      <c r="K164" s="62"/>
    </row>
    <row r="165" spans="2:11" ht="23.25" customHeight="1" x14ac:dyDescent="0.25">
      <c r="B165" s="74">
        <v>234410</v>
      </c>
      <c r="C165" s="74">
        <v>3213</v>
      </c>
      <c r="D165" s="74" t="s">
        <v>187</v>
      </c>
      <c r="E165" s="75">
        <v>55516</v>
      </c>
      <c r="F165" s="91"/>
      <c r="G165" s="91"/>
      <c r="H165" s="91">
        <v>0</v>
      </c>
      <c r="I165" s="91"/>
      <c r="J165" s="93"/>
      <c r="K165" s="62"/>
    </row>
    <row r="166" spans="2:11" ht="24.75" customHeight="1" x14ac:dyDescent="0.25">
      <c r="B166" s="74">
        <v>234411</v>
      </c>
      <c r="C166" s="74">
        <v>3213</v>
      </c>
      <c r="D166" s="74" t="s">
        <v>187</v>
      </c>
      <c r="E166" s="75">
        <v>55629</v>
      </c>
      <c r="F166" s="91">
        <v>0</v>
      </c>
      <c r="G166" s="91">
        <v>0</v>
      </c>
      <c r="H166" s="91">
        <v>0</v>
      </c>
      <c r="I166" s="204"/>
      <c r="J166" s="205"/>
      <c r="K166" s="62"/>
    </row>
    <row r="167" spans="2:11" ht="24" customHeight="1" x14ac:dyDescent="0.25">
      <c r="B167" s="74"/>
      <c r="C167" s="87">
        <v>322</v>
      </c>
      <c r="D167" s="87" t="s">
        <v>314</v>
      </c>
      <c r="E167" s="88"/>
      <c r="F167" s="89">
        <v>533.54999999999995</v>
      </c>
      <c r="G167" s="89">
        <v>533.54999999999995</v>
      </c>
      <c r="H167" s="89">
        <v>210.84</v>
      </c>
      <c r="I167" s="89"/>
      <c r="J167" s="94">
        <v>39.520000000000003</v>
      </c>
      <c r="K167" s="68"/>
    </row>
    <row r="168" spans="2:11" ht="31.5" customHeight="1" x14ac:dyDescent="0.25">
      <c r="B168" s="74">
        <v>234412</v>
      </c>
      <c r="C168" s="74">
        <v>3221</v>
      </c>
      <c r="D168" s="74" t="s">
        <v>190</v>
      </c>
      <c r="E168" s="75">
        <v>55629</v>
      </c>
      <c r="F168" s="91"/>
      <c r="G168" s="91"/>
      <c r="H168" s="91">
        <v>36.299999999999997</v>
      </c>
      <c r="I168" s="91"/>
      <c r="J168" s="93"/>
      <c r="K168" s="62"/>
    </row>
    <row r="169" spans="2:11" ht="34.5" customHeight="1" x14ac:dyDescent="0.25">
      <c r="B169" s="74">
        <v>234413</v>
      </c>
      <c r="C169" s="74">
        <v>3221</v>
      </c>
      <c r="D169" s="74" t="s">
        <v>190</v>
      </c>
      <c r="E169" s="75">
        <v>55516</v>
      </c>
      <c r="F169" s="91"/>
      <c r="G169" s="91"/>
      <c r="H169" s="91">
        <v>174.54</v>
      </c>
      <c r="I169" s="91"/>
      <c r="J169" s="93"/>
      <c r="K169" s="62"/>
    </row>
    <row r="170" spans="2:11" ht="19.5" customHeight="1" x14ac:dyDescent="0.25">
      <c r="B170" s="87"/>
      <c r="C170" s="87" t="s">
        <v>93</v>
      </c>
      <c r="D170" s="87" t="s">
        <v>193</v>
      </c>
      <c r="E170" s="88"/>
      <c r="F170" s="89">
        <v>597.25</v>
      </c>
      <c r="G170" s="89">
        <v>597.25</v>
      </c>
      <c r="H170" s="89">
        <v>0</v>
      </c>
      <c r="I170" s="204">
        <f t="shared" si="3"/>
        <v>0</v>
      </c>
      <c r="J170" s="205"/>
      <c r="K170" s="62"/>
    </row>
    <row r="171" spans="2:11" x14ac:dyDescent="0.25">
      <c r="B171" s="74">
        <v>234414</v>
      </c>
      <c r="C171" s="74">
        <v>3237</v>
      </c>
      <c r="D171" s="74" t="s">
        <v>265</v>
      </c>
      <c r="E171" s="75">
        <v>55516</v>
      </c>
      <c r="F171" s="91">
        <v>265.45</v>
      </c>
      <c r="G171" s="91">
        <v>265.45</v>
      </c>
      <c r="H171" s="91">
        <v>0</v>
      </c>
      <c r="I171" s="204">
        <f t="shared" si="3"/>
        <v>0</v>
      </c>
      <c r="J171" s="205"/>
      <c r="K171" s="62"/>
    </row>
    <row r="172" spans="2:11" x14ac:dyDescent="0.25">
      <c r="B172" s="74">
        <v>234415</v>
      </c>
      <c r="C172" s="74" t="s">
        <v>107</v>
      </c>
      <c r="D172" s="74" t="s">
        <v>265</v>
      </c>
      <c r="E172" s="75">
        <v>55629</v>
      </c>
      <c r="F172" s="91">
        <v>397.83</v>
      </c>
      <c r="G172" s="91">
        <v>397.83</v>
      </c>
      <c r="H172" s="91">
        <v>0</v>
      </c>
      <c r="I172" s="204">
        <f t="shared" si="3"/>
        <v>0</v>
      </c>
      <c r="J172" s="205"/>
      <c r="K172" s="62"/>
    </row>
    <row r="173" spans="2:11" ht="27.75" customHeight="1" x14ac:dyDescent="0.25">
      <c r="B173" s="74"/>
      <c r="C173" s="87">
        <v>329</v>
      </c>
      <c r="D173" s="87" t="s">
        <v>204</v>
      </c>
      <c r="E173" s="88"/>
      <c r="F173" s="89">
        <v>464.84</v>
      </c>
      <c r="G173" s="89">
        <v>464.84</v>
      </c>
      <c r="H173" s="89">
        <v>735</v>
      </c>
      <c r="I173" s="89"/>
      <c r="J173" s="94"/>
      <c r="K173" s="68"/>
    </row>
    <row r="174" spans="2:11" x14ac:dyDescent="0.25">
      <c r="B174" s="74">
        <v>234416</v>
      </c>
      <c r="C174" s="74">
        <v>3299</v>
      </c>
      <c r="D174" s="74" t="s">
        <v>204</v>
      </c>
      <c r="E174" s="75">
        <v>55629</v>
      </c>
      <c r="F174" s="91"/>
      <c r="G174" s="91"/>
      <c r="H174" s="91">
        <v>200</v>
      </c>
      <c r="I174" s="91"/>
      <c r="J174" s="93"/>
      <c r="K174" s="62"/>
    </row>
    <row r="175" spans="2:11" ht="22.5" customHeight="1" x14ac:dyDescent="0.25">
      <c r="B175" s="74">
        <v>234417</v>
      </c>
      <c r="C175" s="74">
        <v>3299</v>
      </c>
      <c r="D175" s="74" t="s">
        <v>204</v>
      </c>
      <c r="E175" s="75">
        <v>55516</v>
      </c>
      <c r="F175" s="91"/>
      <c r="G175" s="91"/>
      <c r="H175" s="91">
        <v>535</v>
      </c>
      <c r="I175" s="91"/>
      <c r="J175" s="93"/>
      <c r="K175" s="62"/>
    </row>
    <row r="176" spans="2:11" ht="18.75" customHeight="1" x14ac:dyDescent="0.25">
      <c r="B176" s="74"/>
      <c r="C176" s="107" t="s">
        <v>307</v>
      </c>
      <c r="D176" s="82">
        <v>912</v>
      </c>
      <c r="E176" s="75"/>
      <c r="F176" s="91"/>
      <c r="G176" s="91"/>
      <c r="H176" s="91"/>
      <c r="I176" s="91"/>
      <c r="J176" s="93"/>
      <c r="K176" s="62"/>
    </row>
    <row r="177" spans="2:11" x14ac:dyDescent="0.25">
      <c r="B177" s="84" t="s">
        <v>315</v>
      </c>
      <c r="C177" s="84"/>
      <c r="D177" s="84" t="s">
        <v>316</v>
      </c>
      <c r="E177" s="85"/>
      <c r="F177" s="86">
        <v>270</v>
      </c>
      <c r="G177" s="86">
        <v>270</v>
      </c>
      <c r="H177" s="86"/>
      <c r="I177" s="86"/>
      <c r="J177" s="97">
        <v>0</v>
      </c>
      <c r="K177" s="68"/>
    </row>
    <row r="178" spans="2:11" ht="36.75" customHeight="1" x14ac:dyDescent="0.25">
      <c r="B178" s="87"/>
      <c r="C178" s="87">
        <v>4</v>
      </c>
      <c r="D178" s="87" t="s">
        <v>258</v>
      </c>
      <c r="E178" s="88"/>
      <c r="F178" s="89">
        <v>270</v>
      </c>
      <c r="G178" s="89">
        <v>270</v>
      </c>
      <c r="H178" s="89">
        <v>0</v>
      </c>
      <c r="I178" s="89"/>
      <c r="J178" s="98">
        <v>0</v>
      </c>
      <c r="K178" s="68"/>
    </row>
    <row r="179" spans="2:11" ht="36.75" customHeight="1" x14ac:dyDescent="0.25">
      <c r="B179" s="87"/>
      <c r="C179" s="87">
        <v>42</v>
      </c>
      <c r="D179" s="87" t="s">
        <v>259</v>
      </c>
      <c r="E179" s="88"/>
      <c r="F179" s="89">
        <v>270</v>
      </c>
      <c r="G179" s="89">
        <v>270</v>
      </c>
      <c r="H179" s="89">
        <v>0</v>
      </c>
      <c r="I179" s="89"/>
      <c r="J179" s="94"/>
      <c r="K179" s="68"/>
    </row>
    <row r="180" spans="2:11" ht="38.25" customHeight="1" x14ac:dyDescent="0.25">
      <c r="B180" s="87"/>
      <c r="C180" s="87">
        <v>424</v>
      </c>
      <c r="D180" s="87" t="s">
        <v>317</v>
      </c>
      <c r="E180" s="88"/>
      <c r="F180" s="89">
        <v>270</v>
      </c>
      <c r="G180" s="89">
        <v>270</v>
      </c>
      <c r="H180" s="89">
        <v>0</v>
      </c>
      <c r="I180" s="89"/>
      <c r="J180" s="94"/>
      <c r="K180" s="68"/>
    </row>
    <row r="181" spans="2:11" x14ac:dyDescent="0.25">
      <c r="B181" s="74">
        <v>234418</v>
      </c>
      <c r="C181" s="74">
        <v>4241</v>
      </c>
      <c r="D181" s="74" t="s">
        <v>262</v>
      </c>
      <c r="E181" s="75">
        <v>55629</v>
      </c>
      <c r="F181" s="91"/>
      <c r="G181" s="91"/>
      <c r="H181" s="91">
        <v>0</v>
      </c>
      <c r="I181" s="91"/>
      <c r="J181" s="93"/>
      <c r="K181" s="62"/>
    </row>
    <row r="182" spans="2:11" x14ac:dyDescent="0.25">
      <c r="B182" s="74">
        <v>234419</v>
      </c>
      <c r="C182" s="74">
        <v>4241</v>
      </c>
      <c r="D182" s="74" t="s">
        <v>262</v>
      </c>
      <c r="E182" s="75">
        <v>55516</v>
      </c>
      <c r="F182" s="91"/>
      <c r="G182" s="91"/>
      <c r="H182" s="91">
        <v>0</v>
      </c>
      <c r="I182" s="91"/>
      <c r="J182" s="93"/>
      <c r="K182" s="62"/>
    </row>
    <row r="183" spans="2:11" ht="30" x14ac:dyDescent="0.25">
      <c r="B183" s="87"/>
      <c r="C183" s="82" t="s">
        <v>307</v>
      </c>
      <c r="D183" s="82">
        <v>950</v>
      </c>
      <c r="E183" s="88"/>
      <c r="F183" s="89"/>
      <c r="G183" s="89"/>
      <c r="H183" s="89"/>
      <c r="I183" s="89"/>
      <c r="J183" s="94"/>
      <c r="K183" s="68"/>
    </row>
    <row r="184" spans="2:11" x14ac:dyDescent="0.25">
      <c r="B184" s="84" t="s">
        <v>318</v>
      </c>
      <c r="C184" s="84"/>
      <c r="D184" s="84" t="s">
        <v>319</v>
      </c>
      <c r="E184" s="85"/>
      <c r="F184" s="86">
        <v>930</v>
      </c>
      <c r="G184" s="86">
        <v>930</v>
      </c>
      <c r="H184" s="86">
        <v>303.05</v>
      </c>
      <c r="I184" s="86"/>
      <c r="J184" s="96">
        <v>32.590000000000003</v>
      </c>
      <c r="K184" s="68"/>
    </row>
    <row r="185" spans="2:11" ht="25.5" customHeight="1" x14ac:dyDescent="0.25">
      <c r="B185" s="87"/>
      <c r="C185" s="87">
        <v>3</v>
      </c>
      <c r="D185" s="87" t="s">
        <v>180</v>
      </c>
      <c r="E185" s="88"/>
      <c r="F185" s="89">
        <v>930</v>
      </c>
      <c r="G185" s="89">
        <v>930</v>
      </c>
      <c r="H185" s="89">
        <v>303.05</v>
      </c>
      <c r="I185" s="89"/>
      <c r="J185" s="94">
        <v>32.590000000000003</v>
      </c>
      <c r="K185" s="68"/>
    </row>
    <row r="186" spans="2:11" ht="21.75" customHeight="1" x14ac:dyDescent="0.25">
      <c r="B186" s="87"/>
      <c r="C186" s="87">
        <v>32</v>
      </c>
      <c r="D186" s="87" t="s">
        <v>181</v>
      </c>
      <c r="E186" s="88"/>
      <c r="F186" s="89">
        <v>930</v>
      </c>
      <c r="G186" s="89">
        <v>930</v>
      </c>
      <c r="H186" s="89">
        <v>303.05</v>
      </c>
      <c r="I186" s="89"/>
      <c r="J186" s="94">
        <v>32.590000000000003</v>
      </c>
      <c r="K186" s="68"/>
    </row>
    <row r="187" spans="2:11" ht="21" customHeight="1" x14ac:dyDescent="0.25">
      <c r="B187" s="87"/>
      <c r="C187" s="87">
        <v>322</v>
      </c>
      <c r="D187" s="87" t="s">
        <v>314</v>
      </c>
      <c r="E187" s="88"/>
      <c r="F187" s="89"/>
      <c r="G187" s="89"/>
      <c r="H187" s="89">
        <v>303.05</v>
      </c>
      <c r="I187" s="89"/>
      <c r="J187" s="94"/>
      <c r="K187" s="68"/>
    </row>
    <row r="188" spans="2:11" ht="29.25" customHeight="1" x14ac:dyDescent="0.25">
      <c r="B188" s="87"/>
      <c r="C188" s="74">
        <v>3221</v>
      </c>
      <c r="D188" s="74" t="s">
        <v>190</v>
      </c>
      <c r="E188" s="75">
        <v>55516</v>
      </c>
      <c r="F188" s="91"/>
      <c r="G188" s="91"/>
      <c r="H188" s="91">
        <v>205.62</v>
      </c>
      <c r="I188" s="91"/>
      <c r="J188" s="93"/>
      <c r="K188" s="62"/>
    </row>
    <row r="189" spans="2:11" ht="30.75" customHeight="1" x14ac:dyDescent="0.25">
      <c r="B189" s="87"/>
      <c r="C189" s="74">
        <v>3221</v>
      </c>
      <c r="D189" s="74" t="s">
        <v>190</v>
      </c>
      <c r="E189" s="75">
        <v>55629</v>
      </c>
      <c r="F189" s="91"/>
      <c r="G189" s="91"/>
      <c r="H189" s="91">
        <v>97.45</v>
      </c>
      <c r="I189" s="91"/>
      <c r="J189" s="93"/>
      <c r="K189" s="62"/>
    </row>
    <row r="190" spans="2:11" ht="21" customHeight="1" x14ac:dyDescent="0.25">
      <c r="B190" s="87"/>
      <c r="C190" s="74">
        <v>3222</v>
      </c>
      <c r="D190" s="74" t="s">
        <v>247</v>
      </c>
      <c r="E190" s="75">
        <v>55516</v>
      </c>
      <c r="F190" s="91"/>
      <c r="G190" s="91"/>
      <c r="H190" s="91">
        <v>0</v>
      </c>
      <c r="I190" s="91"/>
      <c r="J190" s="93"/>
      <c r="K190" s="62"/>
    </row>
    <row r="191" spans="2:11" ht="21" customHeight="1" x14ac:dyDescent="0.25">
      <c r="B191" s="87"/>
      <c r="C191" s="74">
        <v>3222</v>
      </c>
      <c r="D191" s="74" t="s">
        <v>247</v>
      </c>
      <c r="E191" s="75">
        <v>55629</v>
      </c>
      <c r="F191" s="91"/>
      <c r="G191" s="91"/>
      <c r="H191" s="91">
        <v>0</v>
      </c>
      <c r="I191" s="91"/>
      <c r="J191" s="93"/>
      <c r="K191" s="62"/>
    </row>
    <row r="192" spans="2:11" ht="36" customHeight="1" x14ac:dyDescent="0.25">
      <c r="B192" s="87"/>
      <c r="C192" s="87">
        <v>324</v>
      </c>
      <c r="D192" s="87" t="s">
        <v>311</v>
      </c>
      <c r="E192" s="88"/>
      <c r="F192" s="89">
        <v>599.52</v>
      </c>
      <c r="G192" s="89">
        <v>599.52</v>
      </c>
      <c r="H192" s="89"/>
      <c r="I192" s="89"/>
      <c r="J192" s="94"/>
      <c r="K192" s="68"/>
    </row>
    <row r="193" spans="2:11" ht="33.75" customHeight="1" x14ac:dyDescent="0.25">
      <c r="B193" s="87"/>
      <c r="C193" s="74">
        <v>3241</v>
      </c>
      <c r="D193" s="74" t="s">
        <v>311</v>
      </c>
      <c r="E193" s="75">
        <v>55516</v>
      </c>
      <c r="F193" s="91"/>
      <c r="G193" s="91"/>
      <c r="H193" s="91"/>
      <c r="I193" s="91"/>
      <c r="J193" s="93"/>
      <c r="K193" s="62"/>
    </row>
    <row r="194" spans="2:11" ht="31.5" customHeight="1" x14ac:dyDescent="0.25">
      <c r="B194" s="87"/>
      <c r="C194" s="74">
        <v>3241</v>
      </c>
      <c r="D194" s="74" t="s">
        <v>311</v>
      </c>
      <c r="E194" s="75">
        <v>55629</v>
      </c>
      <c r="F194" s="91"/>
      <c r="G194" s="91"/>
      <c r="H194" s="91"/>
      <c r="I194" s="91"/>
      <c r="J194" s="93"/>
      <c r="K194" s="62"/>
    </row>
    <row r="195" spans="2:11" x14ac:dyDescent="0.25">
      <c r="B195" s="87"/>
      <c r="C195" s="108" t="s">
        <v>307</v>
      </c>
      <c r="D195" s="82">
        <v>912</v>
      </c>
      <c r="E195" s="75"/>
      <c r="F195" s="91"/>
      <c r="G195" s="91"/>
      <c r="H195" s="91"/>
      <c r="I195" s="91"/>
      <c r="J195" s="93"/>
      <c r="K195" s="62"/>
    </row>
    <row r="196" spans="2:11" x14ac:dyDescent="0.25">
      <c r="B196" s="84" t="s">
        <v>320</v>
      </c>
      <c r="C196" s="84"/>
      <c r="D196" s="84" t="s">
        <v>321</v>
      </c>
      <c r="E196" s="85"/>
      <c r="F196" s="86">
        <v>1000</v>
      </c>
      <c r="G196" s="86">
        <v>1000</v>
      </c>
      <c r="H196" s="86">
        <v>1069.03</v>
      </c>
      <c r="I196" s="86"/>
      <c r="J196" s="96">
        <v>106.9</v>
      </c>
      <c r="K196" s="67"/>
    </row>
    <row r="197" spans="2:11" ht="19.5" customHeight="1" x14ac:dyDescent="0.25">
      <c r="B197" s="74"/>
      <c r="C197" s="87">
        <v>3</v>
      </c>
      <c r="D197" s="87" t="s">
        <v>180</v>
      </c>
      <c r="E197" s="75"/>
      <c r="F197" s="89">
        <v>1000</v>
      </c>
      <c r="G197" s="89">
        <v>1000</v>
      </c>
      <c r="H197" s="89">
        <v>1069.03</v>
      </c>
      <c r="I197" s="89"/>
      <c r="J197" s="94">
        <v>106.9</v>
      </c>
      <c r="K197" s="67"/>
    </row>
    <row r="198" spans="2:11" ht="18.75" customHeight="1" x14ac:dyDescent="0.25">
      <c r="B198" s="74"/>
      <c r="C198" s="87">
        <v>32</v>
      </c>
      <c r="D198" s="87" t="s">
        <v>181</v>
      </c>
      <c r="E198" s="75"/>
      <c r="F198" s="89">
        <v>1000</v>
      </c>
      <c r="G198" s="89">
        <v>1000</v>
      </c>
      <c r="H198" s="89">
        <v>1069.03</v>
      </c>
      <c r="I198" s="89"/>
      <c r="J198" s="94">
        <v>106.9</v>
      </c>
      <c r="K198" s="67"/>
    </row>
    <row r="199" spans="2:11" ht="25.5" customHeight="1" x14ac:dyDescent="0.25">
      <c r="B199" s="74"/>
      <c r="C199" s="74">
        <v>321</v>
      </c>
      <c r="D199" s="74" t="s">
        <v>182</v>
      </c>
      <c r="E199" s="75"/>
      <c r="F199" s="91">
        <v>400.16</v>
      </c>
      <c r="G199" s="91">
        <v>400.16</v>
      </c>
      <c r="H199" s="91">
        <v>400.16</v>
      </c>
      <c r="I199" s="91"/>
      <c r="J199" s="93">
        <v>100</v>
      </c>
      <c r="K199" s="62"/>
    </row>
    <row r="200" spans="2:11" ht="24" customHeight="1" x14ac:dyDescent="0.25">
      <c r="B200" s="74">
        <v>234426</v>
      </c>
      <c r="C200" s="74">
        <v>3211</v>
      </c>
      <c r="D200" s="74" t="s">
        <v>184</v>
      </c>
      <c r="E200" s="75">
        <v>55629</v>
      </c>
      <c r="F200" s="91"/>
      <c r="G200" s="91"/>
      <c r="H200" s="91">
        <v>79.63</v>
      </c>
      <c r="I200" s="91"/>
      <c r="J200" s="93"/>
      <c r="K200" s="62"/>
    </row>
    <row r="201" spans="2:11" ht="21" customHeight="1" x14ac:dyDescent="0.25">
      <c r="B201" s="74">
        <v>234427</v>
      </c>
      <c r="C201" s="74">
        <v>3211</v>
      </c>
      <c r="D201" s="74" t="s">
        <v>184</v>
      </c>
      <c r="E201" s="75">
        <v>55516</v>
      </c>
      <c r="F201" s="91"/>
      <c r="G201" s="91"/>
      <c r="H201" s="91">
        <v>187.14</v>
      </c>
      <c r="I201" s="91"/>
      <c r="J201" s="93"/>
      <c r="K201" s="62"/>
    </row>
    <row r="202" spans="2:11" ht="25.5" customHeight="1" x14ac:dyDescent="0.25">
      <c r="B202" s="74">
        <v>234428</v>
      </c>
      <c r="C202" s="74">
        <v>3213</v>
      </c>
      <c r="D202" s="74" t="s">
        <v>187</v>
      </c>
      <c r="E202" s="75">
        <v>55629</v>
      </c>
      <c r="F202" s="91"/>
      <c r="G202" s="91"/>
      <c r="H202" s="91">
        <v>39.82</v>
      </c>
      <c r="I202" s="91"/>
      <c r="J202" s="93"/>
      <c r="K202" s="62"/>
    </row>
    <row r="203" spans="2:11" ht="25.5" customHeight="1" x14ac:dyDescent="0.25">
      <c r="B203" s="74">
        <v>234429</v>
      </c>
      <c r="C203" s="74">
        <v>3213</v>
      </c>
      <c r="D203" s="74" t="s">
        <v>187</v>
      </c>
      <c r="E203" s="75">
        <v>55516</v>
      </c>
      <c r="F203" s="91"/>
      <c r="G203" s="91"/>
      <c r="H203" s="91">
        <v>93.57</v>
      </c>
      <c r="I203" s="91"/>
      <c r="J203" s="93"/>
      <c r="K203" s="62"/>
    </row>
    <row r="204" spans="2:11" ht="22.5" customHeight="1" x14ac:dyDescent="0.25">
      <c r="B204" s="87"/>
      <c r="C204" s="74">
        <v>322</v>
      </c>
      <c r="D204" s="74" t="s">
        <v>322</v>
      </c>
      <c r="E204" s="75"/>
      <c r="F204" s="91"/>
      <c r="G204" s="91"/>
      <c r="H204" s="91">
        <v>688.87</v>
      </c>
      <c r="I204" s="91"/>
      <c r="J204" s="93"/>
      <c r="K204" s="62"/>
    </row>
    <row r="205" spans="2:11" ht="32.25" customHeight="1" x14ac:dyDescent="0.25">
      <c r="B205" s="74">
        <v>234430</v>
      </c>
      <c r="C205" s="74">
        <v>3221</v>
      </c>
      <c r="D205" s="74" t="s">
        <v>190</v>
      </c>
      <c r="E205" s="75">
        <v>55629</v>
      </c>
      <c r="F205" s="91"/>
      <c r="G205" s="91"/>
      <c r="H205" s="91">
        <v>121.68</v>
      </c>
      <c r="I205" s="91"/>
      <c r="J205" s="93"/>
      <c r="K205" s="62"/>
    </row>
    <row r="206" spans="2:11" ht="34.5" customHeight="1" x14ac:dyDescent="0.25">
      <c r="B206" s="74">
        <v>234431</v>
      </c>
      <c r="C206" s="74">
        <v>3221</v>
      </c>
      <c r="D206" s="74" t="s">
        <v>190</v>
      </c>
      <c r="E206" s="75">
        <v>55516</v>
      </c>
      <c r="F206" s="91"/>
      <c r="G206" s="91"/>
      <c r="H206" s="91">
        <v>547.19000000000005</v>
      </c>
      <c r="I206" s="91"/>
      <c r="J206" s="93"/>
      <c r="K206" s="62"/>
    </row>
    <row r="207" spans="2:11" x14ac:dyDescent="0.25">
      <c r="B207" s="87"/>
      <c r="C207" s="87">
        <v>323</v>
      </c>
      <c r="D207" s="87" t="s">
        <v>193</v>
      </c>
      <c r="E207" s="88"/>
      <c r="F207" s="89">
        <v>333.13</v>
      </c>
      <c r="G207" s="89">
        <v>333.13</v>
      </c>
      <c r="H207" s="89">
        <v>0</v>
      </c>
      <c r="I207" s="89"/>
      <c r="J207" s="98">
        <v>0</v>
      </c>
      <c r="K207" s="62"/>
    </row>
    <row r="208" spans="2:11" ht="16.5" customHeight="1" x14ac:dyDescent="0.25">
      <c r="B208" s="74">
        <v>234432</v>
      </c>
      <c r="C208" s="74">
        <v>3237</v>
      </c>
      <c r="D208" s="74" t="s">
        <v>310</v>
      </c>
      <c r="E208" s="75">
        <v>55629</v>
      </c>
      <c r="F208" s="91"/>
      <c r="G208" s="91"/>
      <c r="H208" s="91"/>
      <c r="I208" s="91"/>
      <c r="J208" s="93"/>
      <c r="K208" s="62"/>
    </row>
    <row r="209" spans="2:11" ht="23.25" customHeight="1" x14ac:dyDescent="0.25">
      <c r="B209" s="74">
        <v>234433</v>
      </c>
      <c r="C209" s="74">
        <v>3237</v>
      </c>
      <c r="D209" s="74" t="s">
        <v>310</v>
      </c>
      <c r="E209" s="75">
        <v>55516</v>
      </c>
      <c r="F209" s="91"/>
      <c r="G209" s="91"/>
      <c r="H209" s="91"/>
      <c r="I209" s="91"/>
      <c r="J209" s="93"/>
      <c r="K209" s="62"/>
    </row>
    <row r="210" spans="2:11" ht="34.5" customHeight="1" x14ac:dyDescent="0.25">
      <c r="B210" s="87"/>
      <c r="C210" s="87">
        <v>4</v>
      </c>
      <c r="D210" s="87" t="s">
        <v>258</v>
      </c>
      <c r="E210" s="88"/>
      <c r="F210" s="89">
        <v>133</v>
      </c>
      <c r="G210" s="89">
        <v>133</v>
      </c>
      <c r="H210" s="89"/>
      <c r="I210" s="89"/>
      <c r="J210" s="95">
        <v>0</v>
      </c>
      <c r="K210" s="62"/>
    </row>
    <row r="211" spans="2:11" ht="35.25" customHeight="1" x14ac:dyDescent="0.25">
      <c r="B211" s="87"/>
      <c r="C211" s="87">
        <v>42</v>
      </c>
      <c r="D211" s="87" t="s">
        <v>259</v>
      </c>
      <c r="E211" s="88"/>
      <c r="F211" s="89">
        <v>133</v>
      </c>
      <c r="G211" s="89">
        <v>133</v>
      </c>
      <c r="H211" s="89"/>
      <c r="I211" s="89"/>
      <c r="J211" s="95">
        <v>0</v>
      </c>
      <c r="K211" s="62"/>
    </row>
    <row r="212" spans="2:11" ht="31.5" customHeight="1" x14ac:dyDescent="0.25">
      <c r="B212" s="87"/>
      <c r="C212" s="87">
        <v>424</v>
      </c>
      <c r="D212" s="87" t="s">
        <v>317</v>
      </c>
      <c r="E212" s="88"/>
      <c r="F212" s="89">
        <v>133</v>
      </c>
      <c r="G212" s="89">
        <v>133</v>
      </c>
      <c r="H212" s="89"/>
      <c r="I212" s="89"/>
      <c r="J212" s="95">
        <v>0</v>
      </c>
      <c r="K212" s="62"/>
    </row>
    <row r="213" spans="2:11" x14ac:dyDescent="0.25">
      <c r="B213" s="74">
        <v>234434</v>
      </c>
      <c r="C213" s="74">
        <v>4241</v>
      </c>
      <c r="D213" s="74" t="s">
        <v>262</v>
      </c>
      <c r="E213" s="75"/>
      <c r="F213" s="91"/>
      <c r="G213" s="91"/>
      <c r="H213" s="91"/>
      <c r="I213" s="91"/>
      <c r="J213" s="93"/>
      <c r="K213" s="62"/>
    </row>
    <row r="214" spans="2:11" x14ac:dyDescent="0.25">
      <c r="B214" s="74">
        <v>234435</v>
      </c>
      <c r="C214" s="74">
        <v>4241</v>
      </c>
      <c r="D214" s="74" t="s">
        <v>262</v>
      </c>
      <c r="E214" s="75"/>
      <c r="F214" s="91"/>
      <c r="G214" s="91"/>
      <c r="H214" s="91"/>
      <c r="I214" s="91"/>
      <c r="J214" s="93"/>
      <c r="K214" s="62"/>
    </row>
    <row r="215" spans="2:11" x14ac:dyDescent="0.25">
      <c r="B215" s="82"/>
      <c r="C215" s="209" t="s">
        <v>253</v>
      </c>
      <c r="D215" s="210"/>
      <c r="E215" s="83"/>
      <c r="F215" s="83"/>
      <c r="G215" s="83"/>
      <c r="H215" s="83"/>
      <c r="I215" s="204"/>
      <c r="J215" s="205"/>
      <c r="K215" s="62"/>
    </row>
    <row r="216" spans="2:11" x14ac:dyDescent="0.25">
      <c r="B216" s="84" t="s">
        <v>266</v>
      </c>
      <c r="C216" s="211" t="s">
        <v>267</v>
      </c>
      <c r="D216" s="212"/>
      <c r="E216" s="85"/>
      <c r="F216" s="86">
        <v>660</v>
      </c>
      <c r="G216" s="86">
        <v>660</v>
      </c>
      <c r="H216" s="86">
        <v>236.32</v>
      </c>
      <c r="I216" s="213">
        <f t="shared" si="3"/>
        <v>35.806060606060605</v>
      </c>
      <c r="J216" s="214"/>
      <c r="K216" s="62"/>
    </row>
    <row r="217" spans="2:11" ht="27.75" customHeight="1" x14ac:dyDescent="0.25">
      <c r="B217" s="87"/>
      <c r="C217" s="87" t="s">
        <v>60</v>
      </c>
      <c r="D217" s="87" t="s">
        <v>180</v>
      </c>
      <c r="E217" s="88"/>
      <c r="F217" s="89">
        <v>660</v>
      </c>
      <c r="G217" s="89">
        <v>660</v>
      </c>
      <c r="H217" s="89">
        <v>236.32</v>
      </c>
      <c r="I217" s="204">
        <f t="shared" si="3"/>
        <v>35.806060606060605</v>
      </c>
      <c r="J217" s="205"/>
      <c r="K217" s="62"/>
    </row>
    <row r="218" spans="2:11" x14ac:dyDescent="0.25">
      <c r="B218" s="87"/>
      <c r="C218" s="87" t="s">
        <v>71</v>
      </c>
      <c r="D218" s="87" t="s">
        <v>181</v>
      </c>
      <c r="E218" s="88"/>
      <c r="F218" s="89">
        <v>660</v>
      </c>
      <c r="G218" s="89">
        <v>660</v>
      </c>
      <c r="H218" s="89">
        <v>236.32</v>
      </c>
      <c r="I218" s="204">
        <f t="shared" si="3"/>
        <v>35.806060606060605</v>
      </c>
      <c r="J218" s="205"/>
      <c r="K218" s="62"/>
    </row>
    <row r="219" spans="2:11" ht="20.25" customHeight="1" x14ac:dyDescent="0.25">
      <c r="B219" s="87"/>
      <c r="C219" s="87" t="s">
        <v>72</v>
      </c>
      <c r="D219" s="87" t="s">
        <v>182</v>
      </c>
      <c r="E219" s="88"/>
      <c r="F219" s="89">
        <v>399.9</v>
      </c>
      <c r="G219" s="89">
        <v>399.9</v>
      </c>
      <c r="H219" s="89">
        <v>236.32</v>
      </c>
      <c r="I219" s="204">
        <f t="shared" si="3"/>
        <v>59.094773693423349</v>
      </c>
      <c r="J219" s="205"/>
      <c r="K219" s="62"/>
    </row>
    <row r="220" spans="2:11" x14ac:dyDescent="0.25">
      <c r="B220" s="74">
        <v>234436</v>
      </c>
      <c r="C220" s="74">
        <v>3211</v>
      </c>
      <c r="D220" s="74" t="s">
        <v>184</v>
      </c>
      <c r="E220" s="75">
        <v>55516</v>
      </c>
      <c r="F220" s="89"/>
      <c r="G220" s="89"/>
      <c r="H220" s="89">
        <v>236.32</v>
      </c>
      <c r="I220" s="91"/>
      <c r="J220" s="93"/>
      <c r="K220" s="62"/>
    </row>
    <row r="221" spans="2:11" x14ac:dyDescent="0.25">
      <c r="B221" s="74">
        <v>234437</v>
      </c>
      <c r="C221" s="74" t="s">
        <v>73</v>
      </c>
      <c r="D221" s="74" t="s">
        <v>184</v>
      </c>
      <c r="E221" s="75">
        <v>55629</v>
      </c>
      <c r="F221" s="91"/>
      <c r="G221" s="91"/>
      <c r="H221" s="91">
        <v>0</v>
      </c>
      <c r="I221" s="204">
        <v>0</v>
      </c>
      <c r="J221" s="205"/>
      <c r="K221" s="62"/>
    </row>
    <row r="222" spans="2:11" ht="27" customHeight="1" x14ac:dyDescent="0.25">
      <c r="B222" s="74">
        <v>234438</v>
      </c>
      <c r="C222" s="74">
        <v>3213</v>
      </c>
      <c r="D222" s="74" t="s">
        <v>187</v>
      </c>
      <c r="E222" s="75">
        <v>55516</v>
      </c>
      <c r="F222" s="91"/>
      <c r="G222" s="91"/>
      <c r="H222" s="91">
        <v>0</v>
      </c>
      <c r="I222" s="91"/>
      <c r="J222" s="93"/>
      <c r="K222" s="62"/>
    </row>
    <row r="223" spans="2:11" ht="27" customHeight="1" x14ac:dyDescent="0.25">
      <c r="B223" s="74">
        <v>234439</v>
      </c>
      <c r="C223" s="74">
        <v>3213</v>
      </c>
      <c r="D223" s="74" t="s">
        <v>187</v>
      </c>
      <c r="E223" s="75">
        <v>55629</v>
      </c>
      <c r="F223" s="91"/>
      <c r="G223" s="91"/>
      <c r="H223" s="91">
        <v>0</v>
      </c>
      <c r="I223" s="91"/>
      <c r="J223" s="93"/>
      <c r="K223" s="62"/>
    </row>
    <row r="224" spans="2:11" x14ac:dyDescent="0.25">
      <c r="B224" s="74"/>
      <c r="C224" s="74">
        <v>323</v>
      </c>
      <c r="D224" s="74" t="s">
        <v>193</v>
      </c>
      <c r="E224" s="75"/>
      <c r="F224" s="91">
        <v>260.10000000000002</v>
      </c>
      <c r="G224" s="91">
        <v>260.10000000000002</v>
      </c>
      <c r="H224" s="91">
        <v>0</v>
      </c>
      <c r="I224" s="91"/>
      <c r="J224" s="95">
        <v>0</v>
      </c>
      <c r="K224" s="62"/>
    </row>
    <row r="225" spans="2:11" ht="19.5" customHeight="1" x14ac:dyDescent="0.25">
      <c r="B225" s="74">
        <v>234440</v>
      </c>
      <c r="C225" s="74">
        <v>3237</v>
      </c>
      <c r="D225" s="74" t="s">
        <v>310</v>
      </c>
      <c r="E225" s="75">
        <v>55516</v>
      </c>
      <c r="F225" s="91"/>
      <c r="G225" s="91"/>
      <c r="H225" s="91">
        <v>0</v>
      </c>
      <c r="I225" s="91"/>
      <c r="J225" s="93"/>
      <c r="K225" s="62"/>
    </row>
    <row r="226" spans="2:11" ht="19.5" customHeight="1" x14ac:dyDescent="0.25">
      <c r="B226" s="74">
        <v>234441</v>
      </c>
      <c r="C226" s="74">
        <v>3237</v>
      </c>
      <c r="D226" s="74" t="s">
        <v>310</v>
      </c>
      <c r="E226" s="75">
        <v>55629</v>
      </c>
      <c r="F226" s="91"/>
      <c r="G226" s="91"/>
      <c r="H226" s="91">
        <v>0</v>
      </c>
      <c r="I226" s="91"/>
      <c r="J226" s="93"/>
      <c r="K226" s="62"/>
    </row>
    <row r="227" spans="2:11" x14ac:dyDescent="0.25">
      <c r="B227" s="82"/>
      <c r="C227" s="209" t="s">
        <v>253</v>
      </c>
      <c r="D227" s="210"/>
      <c r="E227" s="83"/>
      <c r="F227" s="83"/>
      <c r="G227" s="83"/>
      <c r="H227" s="83"/>
      <c r="I227" s="204"/>
      <c r="J227" s="205"/>
      <c r="K227" s="62"/>
    </row>
    <row r="228" spans="2:11" x14ac:dyDescent="0.25">
      <c r="B228" s="84" t="s">
        <v>323</v>
      </c>
      <c r="C228" s="211" t="s">
        <v>324</v>
      </c>
      <c r="D228" s="212"/>
      <c r="E228" s="85"/>
      <c r="F228" s="86">
        <v>780</v>
      </c>
      <c r="G228" s="86">
        <v>780</v>
      </c>
      <c r="H228" s="86">
        <v>754.5</v>
      </c>
      <c r="I228" s="213">
        <f t="shared" si="3"/>
        <v>96.730769230769226</v>
      </c>
      <c r="J228" s="214"/>
      <c r="K228" s="62"/>
    </row>
    <row r="229" spans="2:11" ht="26.25" customHeight="1" x14ac:dyDescent="0.25">
      <c r="B229" s="87"/>
      <c r="C229" s="87" t="s">
        <v>60</v>
      </c>
      <c r="D229" s="87" t="s">
        <v>180</v>
      </c>
      <c r="E229" s="88"/>
      <c r="F229" s="89">
        <v>780</v>
      </c>
      <c r="G229" s="89">
        <v>780</v>
      </c>
      <c r="H229" s="89">
        <v>754.5</v>
      </c>
      <c r="I229" s="204">
        <f t="shared" si="3"/>
        <v>96.730769230769226</v>
      </c>
      <c r="J229" s="205"/>
      <c r="K229" s="62"/>
    </row>
    <row r="230" spans="2:11" ht="24" customHeight="1" x14ac:dyDescent="0.25">
      <c r="B230" s="87"/>
      <c r="C230" s="87" t="s">
        <v>71</v>
      </c>
      <c r="D230" s="87" t="s">
        <v>181</v>
      </c>
      <c r="E230" s="88"/>
      <c r="F230" s="89">
        <v>780</v>
      </c>
      <c r="G230" s="89">
        <v>780</v>
      </c>
      <c r="H230" s="89">
        <v>754.5</v>
      </c>
      <c r="I230" s="204">
        <f t="shared" si="3"/>
        <v>96.730769230769226</v>
      </c>
      <c r="J230" s="205"/>
      <c r="K230" s="62"/>
    </row>
    <row r="231" spans="2:11" ht="19.5" customHeight="1" x14ac:dyDescent="0.25">
      <c r="B231" s="87"/>
      <c r="C231" s="87" t="s">
        <v>72</v>
      </c>
      <c r="D231" s="87" t="s">
        <v>182</v>
      </c>
      <c r="E231" s="88"/>
      <c r="F231" s="89">
        <v>401.48</v>
      </c>
      <c r="G231" s="89">
        <v>401.48</v>
      </c>
      <c r="H231" s="89">
        <v>375.98</v>
      </c>
      <c r="I231" s="204">
        <f t="shared" si="3"/>
        <v>93.648500547972503</v>
      </c>
      <c r="J231" s="205"/>
      <c r="K231" s="62"/>
    </row>
    <row r="232" spans="2:11" ht="23.25" customHeight="1" x14ac:dyDescent="0.25">
      <c r="B232" s="74">
        <v>234442</v>
      </c>
      <c r="C232" s="74" t="s">
        <v>73</v>
      </c>
      <c r="D232" s="74" t="s">
        <v>184</v>
      </c>
      <c r="E232" s="75">
        <v>55516</v>
      </c>
      <c r="F232" s="91"/>
      <c r="G232" s="91"/>
      <c r="H232" s="91">
        <v>57.1</v>
      </c>
      <c r="I232" s="204"/>
      <c r="J232" s="205"/>
      <c r="K232" s="62"/>
    </row>
    <row r="233" spans="2:11" ht="21" customHeight="1" x14ac:dyDescent="0.25">
      <c r="B233" s="74">
        <v>234443</v>
      </c>
      <c r="C233" s="74">
        <v>3211</v>
      </c>
      <c r="D233" s="74" t="s">
        <v>184</v>
      </c>
      <c r="E233" s="75">
        <v>55629</v>
      </c>
      <c r="F233" s="91"/>
      <c r="G233" s="91"/>
      <c r="H233" s="91">
        <v>52.38</v>
      </c>
      <c r="I233" s="91"/>
      <c r="J233" s="93"/>
      <c r="K233" s="62"/>
    </row>
    <row r="234" spans="2:11" ht="27" customHeight="1" x14ac:dyDescent="0.25">
      <c r="B234" s="74">
        <v>234444</v>
      </c>
      <c r="C234" s="74">
        <v>3213</v>
      </c>
      <c r="D234" s="74" t="s">
        <v>187</v>
      </c>
      <c r="E234" s="75">
        <v>55516</v>
      </c>
      <c r="F234" s="91"/>
      <c r="G234" s="91"/>
      <c r="H234" s="91">
        <v>186.87</v>
      </c>
      <c r="I234" s="91"/>
      <c r="J234" s="93"/>
      <c r="K234" s="62"/>
    </row>
    <row r="235" spans="2:11" ht="23.25" customHeight="1" x14ac:dyDescent="0.25">
      <c r="B235" s="74">
        <v>234445</v>
      </c>
      <c r="C235" s="74">
        <v>3213</v>
      </c>
      <c r="D235" s="74" t="s">
        <v>187</v>
      </c>
      <c r="E235" s="75">
        <v>55629</v>
      </c>
      <c r="F235" s="91"/>
      <c r="G235" s="91"/>
      <c r="H235" s="91">
        <v>79.63</v>
      </c>
      <c r="I235" s="91"/>
      <c r="J235" s="93"/>
      <c r="K235" s="62"/>
    </row>
    <row r="236" spans="2:11" ht="21" customHeight="1" x14ac:dyDescent="0.25">
      <c r="B236" s="87"/>
      <c r="C236" s="87" t="s">
        <v>113</v>
      </c>
      <c r="D236" s="87" t="s">
        <v>204</v>
      </c>
      <c r="E236" s="88"/>
      <c r="F236" s="89">
        <v>378.52</v>
      </c>
      <c r="G236" s="89">
        <v>378.52</v>
      </c>
      <c r="H236" s="89">
        <v>378.52</v>
      </c>
      <c r="I236" s="204">
        <f t="shared" si="3"/>
        <v>100</v>
      </c>
      <c r="J236" s="205"/>
      <c r="K236" s="62"/>
    </row>
    <row r="237" spans="2:11" ht="36" customHeight="1" x14ac:dyDescent="0.25">
      <c r="B237" s="74">
        <v>234446</v>
      </c>
      <c r="C237" s="74">
        <v>3299</v>
      </c>
      <c r="D237" s="74" t="s">
        <v>250</v>
      </c>
      <c r="E237" s="75">
        <v>55516</v>
      </c>
      <c r="F237" s="91"/>
      <c r="G237" s="91"/>
      <c r="H237" s="91">
        <v>267.95999999999998</v>
      </c>
      <c r="I237" s="91"/>
      <c r="J237" s="93"/>
      <c r="K237" s="62"/>
    </row>
    <row r="238" spans="2:11" ht="33.75" customHeight="1" x14ac:dyDescent="0.25">
      <c r="B238" s="74">
        <v>234447</v>
      </c>
      <c r="C238" s="74">
        <v>3299</v>
      </c>
      <c r="D238" s="74" t="s">
        <v>250</v>
      </c>
      <c r="E238" s="75">
        <v>55629</v>
      </c>
      <c r="F238" s="91"/>
      <c r="G238" s="91"/>
      <c r="H238" s="91">
        <v>110.56</v>
      </c>
      <c r="I238" s="91"/>
      <c r="J238" s="93"/>
      <c r="K238" s="62"/>
    </row>
    <row r="239" spans="2:11" ht="17.25" customHeight="1" x14ac:dyDescent="0.25">
      <c r="B239" s="74"/>
      <c r="C239" s="105" t="s">
        <v>307</v>
      </c>
      <c r="D239" s="74">
        <v>912</v>
      </c>
      <c r="E239" s="75"/>
      <c r="F239" s="91"/>
      <c r="G239" s="91"/>
      <c r="H239" s="91"/>
      <c r="I239" s="91"/>
      <c r="J239" s="93"/>
      <c r="K239" s="62"/>
    </row>
    <row r="240" spans="2:11" x14ac:dyDescent="0.25">
      <c r="B240" s="84" t="s">
        <v>325</v>
      </c>
      <c r="C240" s="84"/>
      <c r="D240" s="84" t="s">
        <v>326</v>
      </c>
      <c r="E240" s="85"/>
      <c r="F240" s="86">
        <v>1200</v>
      </c>
      <c r="G240" s="86">
        <v>1200</v>
      </c>
      <c r="H240" s="86">
        <v>530.89</v>
      </c>
      <c r="I240" s="86"/>
      <c r="J240" s="96">
        <v>44.24</v>
      </c>
      <c r="K240" s="62"/>
    </row>
    <row r="241" spans="2:11" ht="22.5" customHeight="1" x14ac:dyDescent="0.25">
      <c r="B241" s="74"/>
      <c r="C241" s="87">
        <v>3</v>
      </c>
      <c r="D241" s="87" t="s">
        <v>180</v>
      </c>
      <c r="E241" s="88"/>
      <c r="F241" s="89"/>
      <c r="G241" s="89"/>
      <c r="H241" s="89">
        <v>530.89</v>
      </c>
      <c r="I241" s="89"/>
      <c r="J241" s="94"/>
      <c r="K241" s="62"/>
    </row>
    <row r="242" spans="2:11" ht="21.75" customHeight="1" x14ac:dyDescent="0.25">
      <c r="B242" s="74"/>
      <c r="C242" s="87">
        <v>32</v>
      </c>
      <c r="D242" s="87" t="s">
        <v>181</v>
      </c>
      <c r="E242" s="88"/>
      <c r="F242" s="89"/>
      <c r="G242" s="89"/>
      <c r="H242" s="89">
        <v>530.89</v>
      </c>
      <c r="I242" s="89"/>
      <c r="J242" s="94"/>
      <c r="K242" s="62"/>
    </row>
    <row r="243" spans="2:11" ht="21" customHeight="1" x14ac:dyDescent="0.25">
      <c r="B243" s="74"/>
      <c r="C243" s="87">
        <v>329</v>
      </c>
      <c r="D243" s="87" t="s">
        <v>204</v>
      </c>
      <c r="E243" s="88"/>
      <c r="F243" s="89"/>
      <c r="G243" s="89"/>
      <c r="H243" s="89">
        <v>530.89</v>
      </c>
      <c r="I243" s="89"/>
      <c r="J243" s="94"/>
      <c r="K243" s="62"/>
    </row>
    <row r="244" spans="2:11" x14ac:dyDescent="0.25">
      <c r="B244" s="74">
        <v>234448</v>
      </c>
      <c r="C244" s="74">
        <v>3294</v>
      </c>
      <c r="D244" s="74" t="s">
        <v>327</v>
      </c>
      <c r="E244" s="75">
        <v>55629</v>
      </c>
      <c r="F244" s="91"/>
      <c r="G244" s="91"/>
      <c r="H244" s="91">
        <v>170.68</v>
      </c>
      <c r="I244" s="91"/>
      <c r="J244" s="93"/>
      <c r="K244" s="62"/>
    </row>
    <row r="245" spans="2:11" x14ac:dyDescent="0.25">
      <c r="B245" s="74">
        <v>234449</v>
      </c>
      <c r="C245" s="74">
        <v>3294</v>
      </c>
      <c r="D245" s="74" t="s">
        <v>327</v>
      </c>
      <c r="E245" s="75">
        <v>55516</v>
      </c>
      <c r="F245" s="91"/>
      <c r="G245" s="91"/>
      <c r="H245" s="91">
        <v>360.21</v>
      </c>
      <c r="I245" s="91"/>
      <c r="J245" s="93"/>
      <c r="K245" s="62"/>
    </row>
    <row r="246" spans="2:11" ht="35.25" customHeight="1" x14ac:dyDescent="0.25">
      <c r="B246" s="74">
        <v>234450</v>
      </c>
      <c r="C246" s="74">
        <v>3299</v>
      </c>
      <c r="D246" s="74" t="s">
        <v>250</v>
      </c>
      <c r="E246" s="75">
        <v>55516</v>
      </c>
      <c r="F246" s="91"/>
      <c r="G246" s="91"/>
      <c r="H246" s="91">
        <v>0</v>
      </c>
      <c r="I246" s="91"/>
      <c r="J246" s="93"/>
      <c r="K246" s="62"/>
    </row>
    <row r="247" spans="2:11" ht="33.75" customHeight="1" x14ac:dyDescent="0.25">
      <c r="B247" s="74">
        <v>234451</v>
      </c>
      <c r="C247" s="74">
        <v>3299</v>
      </c>
      <c r="D247" s="74" t="s">
        <v>250</v>
      </c>
      <c r="E247" s="75">
        <v>55629</v>
      </c>
      <c r="F247" s="91"/>
      <c r="G247" s="91"/>
      <c r="H247" s="91">
        <v>0</v>
      </c>
      <c r="I247" s="91"/>
      <c r="J247" s="93"/>
      <c r="K247" s="62"/>
    </row>
    <row r="248" spans="2:11" ht="36.75" customHeight="1" x14ac:dyDescent="0.25">
      <c r="B248" s="74"/>
      <c r="C248" s="87">
        <v>4</v>
      </c>
      <c r="D248" s="87" t="s">
        <v>258</v>
      </c>
      <c r="E248" s="75"/>
      <c r="F248" s="91"/>
      <c r="G248" s="91"/>
      <c r="H248" s="91">
        <v>0</v>
      </c>
      <c r="I248" s="91"/>
      <c r="J248" s="93"/>
      <c r="K248" s="62"/>
    </row>
    <row r="249" spans="2:11" ht="37.5" customHeight="1" x14ac:dyDescent="0.25">
      <c r="B249" s="74"/>
      <c r="C249" s="87">
        <v>42</v>
      </c>
      <c r="D249" s="87" t="s">
        <v>259</v>
      </c>
      <c r="E249" s="75"/>
      <c r="F249" s="91"/>
      <c r="G249" s="91"/>
      <c r="H249" s="91">
        <v>0</v>
      </c>
      <c r="I249" s="91"/>
      <c r="J249" s="93"/>
      <c r="K249" s="62"/>
    </row>
    <row r="250" spans="2:11" ht="26.25" customHeight="1" x14ac:dyDescent="0.25">
      <c r="B250" s="74"/>
      <c r="C250" s="87">
        <v>422</v>
      </c>
      <c r="D250" s="87" t="s">
        <v>288</v>
      </c>
      <c r="E250" s="75"/>
      <c r="F250" s="91"/>
      <c r="G250" s="91"/>
      <c r="H250" s="91">
        <v>0</v>
      </c>
      <c r="I250" s="91"/>
      <c r="J250" s="93"/>
      <c r="K250" s="62"/>
    </row>
    <row r="251" spans="2:11" ht="24.75" customHeight="1" x14ac:dyDescent="0.25">
      <c r="B251" s="74">
        <v>234452</v>
      </c>
      <c r="C251" s="74">
        <v>4221</v>
      </c>
      <c r="D251" s="74" t="s">
        <v>289</v>
      </c>
      <c r="E251" s="75">
        <v>55516</v>
      </c>
      <c r="F251" s="91"/>
      <c r="G251" s="91"/>
      <c r="H251" s="91">
        <v>0</v>
      </c>
      <c r="I251" s="91"/>
      <c r="J251" s="93"/>
      <c r="K251" s="62"/>
    </row>
    <row r="252" spans="2:11" ht="22.5" customHeight="1" x14ac:dyDescent="0.25">
      <c r="B252" s="74">
        <v>234453</v>
      </c>
      <c r="C252" s="74">
        <v>4221</v>
      </c>
      <c r="D252" s="74" t="s">
        <v>289</v>
      </c>
      <c r="E252" s="75">
        <v>55629</v>
      </c>
      <c r="F252" s="91"/>
      <c r="G252" s="91"/>
      <c r="H252" s="91">
        <v>0</v>
      </c>
      <c r="I252" s="91"/>
      <c r="J252" s="93"/>
      <c r="K252" s="62"/>
    </row>
    <row r="253" spans="2:11" ht="16.5" customHeight="1" x14ac:dyDescent="0.25">
      <c r="B253" s="74"/>
      <c r="C253" s="105" t="s">
        <v>307</v>
      </c>
      <c r="D253" s="74">
        <v>912</v>
      </c>
      <c r="E253" s="75"/>
      <c r="F253" s="91"/>
      <c r="G253" s="91"/>
      <c r="H253" s="91"/>
      <c r="I253" s="91"/>
      <c r="J253" s="93"/>
      <c r="K253" s="62"/>
    </row>
    <row r="254" spans="2:11" ht="27" customHeight="1" x14ac:dyDescent="0.25">
      <c r="B254" s="84" t="s">
        <v>328</v>
      </c>
      <c r="C254" s="84"/>
      <c r="D254" s="84" t="s">
        <v>329</v>
      </c>
      <c r="E254" s="85"/>
      <c r="F254" s="86">
        <v>250</v>
      </c>
      <c r="G254" s="86">
        <v>250</v>
      </c>
      <c r="H254" s="86">
        <v>0</v>
      </c>
      <c r="I254" s="86"/>
      <c r="J254" s="97">
        <v>0</v>
      </c>
      <c r="K254" s="62"/>
    </row>
    <row r="255" spans="2:11" ht="21.75" customHeight="1" x14ac:dyDescent="0.25">
      <c r="B255" s="74"/>
      <c r="C255" s="87">
        <v>3</v>
      </c>
      <c r="D255" s="87" t="s">
        <v>180</v>
      </c>
      <c r="E255" s="75"/>
      <c r="F255" s="91">
        <v>250</v>
      </c>
      <c r="G255" s="91">
        <v>250</v>
      </c>
      <c r="H255" s="91">
        <v>0</v>
      </c>
      <c r="I255" s="91"/>
      <c r="J255" s="95">
        <v>0</v>
      </c>
      <c r="K255" s="62"/>
    </row>
    <row r="256" spans="2:11" ht="21.75" customHeight="1" x14ac:dyDescent="0.25">
      <c r="B256" s="74"/>
      <c r="C256" s="87">
        <v>32</v>
      </c>
      <c r="D256" s="87" t="s">
        <v>181</v>
      </c>
      <c r="E256" s="75"/>
      <c r="F256" s="91">
        <v>250</v>
      </c>
      <c r="G256" s="91">
        <v>250</v>
      </c>
      <c r="H256" s="91">
        <v>0</v>
      </c>
      <c r="I256" s="91"/>
      <c r="J256" s="95">
        <v>0</v>
      </c>
      <c r="K256" s="62"/>
    </row>
    <row r="257" spans="2:11" ht="20.25" customHeight="1" x14ac:dyDescent="0.25">
      <c r="B257" s="74"/>
      <c r="C257" s="87">
        <v>323</v>
      </c>
      <c r="D257" s="87" t="s">
        <v>193</v>
      </c>
      <c r="E257" s="75"/>
      <c r="F257" s="91">
        <v>250</v>
      </c>
      <c r="G257" s="91">
        <v>250</v>
      </c>
      <c r="H257" s="91">
        <v>0</v>
      </c>
      <c r="I257" s="91"/>
      <c r="J257" s="95">
        <v>0</v>
      </c>
      <c r="K257" s="62"/>
    </row>
    <row r="258" spans="2:11" ht="22.5" customHeight="1" x14ac:dyDescent="0.25">
      <c r="B258" s="74">
        <v>234454</v>
      </c>
      <c r="C258" s="74">
        <v>3237</v>
      </c>
      <c r="D258" s="74" t="s">
        <v>265</v>
      </c>
      <c r="E258" s="75">
        <v>55629</v>
      </c>
      <c r="F258" s="91"/>
      <c r="G258" s="91"/>
      <c r="H258" s="91">
        <v>0</v>
      </c>
      <c r="I258" s="91"/>
      <c r="J258" s="93"/>
      <c r="K258" s="62"/>
    </row>
    <row r="259" spans="2:11" ht="24.75" customHeight="1" x14ac:dyDescent="0.25">
      <c r="B259" s="74">
        <v>234455</v>
      </c>
      <c r="C259" s="74">
        <v>3237</v>
      </c>
      <c r="D259" s="74" t="s">
        <v>265</v>
      </c>
      <c r="E259" s="75">
        <v>5516</v>
      </c>
      <c r="F259" s="91"/>
      <c r="G259" s="91"/>
      <c r="H259" s="91">
        <v>0</v>
      </c>
      <c r="I259" s="91"/>
      <c r="J259" s="93"/>
      <c r="K259" s="62"/>
    </row>
    <row r="260" spans="2:11" x14ac:dyDescent="0.25">
      <c r="B260" s="82"/>
      <c r="C260" s="209" t="s">
        <v>177</v>
      </c>
      <c r="D260" s="210"/>
      <c r="E260" s="83"/>
      <c r="F260" s="83"/>
      <c r="G260" s="83"/>
      <c r="H260" s="83"/>
      <c r="I260" s="204"/>
      <c r="J260" s="205"/>
      <c r="K260" s="62"/>
    </row>
    <row r="261" spans="2:11" x14ac:dyDescent="0.25">
      <c r="B261" s="84" t="s">
        <v>269</v>
      </c>
      <c r="C261" s="211" t="s">
        <v>270</v>
      </c>
      <c r="D261" s="212"/>
      <c r="E261" s="85"/>
      <c r="F261" s="86">
        <v>930</v>
      </c>
      <c r="G261" s="86">
        <v>930</v>
      </c>
      <c r="H261" s="86">
        <v>366.56</v>
      </c>
      <c r="I261" s="213">
        <f t="shared" si="3"/>
        <v>39.415053763440859</v>
      </c>
      <c r="J261" s="214"/>
      <c r="K261" s="62"/>
    </row>
    <row r="262" spans="2:11" ht="23.25" customHeight="1" x14ac:dyDescent="0.25">
      <c r="B262" s="87"/>
      <c r="C262" s="87" t="s">
        <v>60</v>
      </c>
      <c r="D262" s="87" t="s">
        <v>180</v>
      </c>
      <c r="E262" s="88"/>
      <c r="F262" s="89">
        <v>132.72</v>
      </c>
      <c r="G262" s="89">
        <v>132.72</v>
      </c>
      <c r="H262" s="89">
        <v>0</v>
      </c>
      <c r="I262" s="204">
        <f t="shared" si="3"/>
        <v>0</v>
      </c>
      <c r="J262" s="205"/>
      <c r="K262" s="62"/>
    </row>
    <row r="263" spans="2:11" ht="22.5" customHeight="1" x14ac:dyDescent="0.25">
      <c r="B263" s="87"/>
      <c r="C263" s="87" t="s">
        <v>71</v>
      </c>
      <c r="D263" s="87" t="s">
        <v>181</v>
      </c>
      <c r="E263" s="88"/>
      <c r="F263" s="89">
        <v>132.72</v>
      </c>
      <c r="G263" s="89">
        <v>132.72</v>
      </c>
      <c r="H263" s="89">
        <v>0</v>
      </c>
      <c r="I263" s="204">
        <f t="shared" si="3"/>
        <v>0</v>
      </c>
      <c r="J263" s="205"/>
      <c r="K263" s="62"/>
    </row>
    <row r="264" spans="2:11" ht="23.25" customHeight="1" x14ac:dyDescent="0.25">
      <c r="B264" s="87"/>
      <c r="C264" s="87" t="s">
        <v>79</v>
      </c>
      <c r="D264" s="87" t="s">
        <v>188</v>
      </c>
      <c r="E264" s="88"/>
      <c r="F264" s="89">
        <v>132.72</v>
      </c>
      <c r="G264" s="89">
        <v>132.72</v>
      </c>
      <c r="H264" s="89">
        <v>0</v>
      </c>
      <c r="I264" s="204">
        <f t="shared" si="3"/>
        <v>0</v>
      </c>
      <c r="J264" s="205"/>
      <c r="K264" s="62"/>
    </row>
    <row r="265" spans="2:11" ht="27" customHeight="1" x14ac:dyDescent="0.25">
      <c r="B265" s="74">
        <v>234456</v>
      </c>
      <c r="C265" s="74">
        <v>3222</v>
      </c>
      <c r="D265" s="74" t="s">
        <v>247</v>
      </c>
      <c r="E265" s="75" t="s">
        <v>240</v>
      </c>
      <c r="F265" s="91"/>
      <c r="G265" s="91"/>
      <c r="H265" s="91">
        <v>0</v>
      </c>
      <c r="I265" s="204">
        <v>0</v>
      </c>
      <c r="J265" s="205"/>
      <c r="K265" s="62"/>
    </row>
    <row r="266" spans="2:11" x14ac:dyDescent="0.25">
      <c r="B266" s="87"/>
      <c r="C266" s="87" t="s">
        <v>93</v>
      </c>
      <c r="D266" s="87" t="s">
        <v>193</v>
      </c>
      <c r="E266" s="88"/>
      <c r="F266" s="89">
        <v>66.36</v>
      </c>
      <c r="G266" s="89">
        <v>66.36</v>
      </c>
      <c r="H266" s="89">
        <v>66.36</v>
      </c>
      <c r="I266" s="204">
        <f t="shared" si="3"/>
        <v>100</v>
      </c>
      <c r="J266" s="205"/>
      <c r="K266" s="62"/>
    </row>
    <row r="267" spans="2:11" ht="25.5" customHeight="1" x14ac:dyDescent="0.25">
      <c r="B267" s="74">
        <v>234457</v>
      </c>
      <c r="C267" s="74" t="s">
        <v>95</v>
      </c>
      <c r="D267" s="74" t="s">
        <v>195</v>
      </c>
      <c r="E267" s="75" t="s">
        <v>240</v>
      </c>
      <c r="F267" s="91">
        <v>850.38</v>
      </c>
      <c r="G267" s="91">
        <v>850.38</v>
      </c>
      <c r="H267" s="91">
        <v>0</v>
      </c>
      <c r="I267" s="204">
        <f t="shared" si="3"/>
        <v>0</v>
      </c>
      <c r="J267" s="205"/>
      <c r="K267" s="62"/>
    </row>
    <row r="268" spans="2:11" ht="25.5" customHeight="1" x14ac:dyDescent="0.25">
      <c r="B268" s="74"/>
      <c r="C268" s="87">
        <v>329</v>
      </c>
      <c r="D268" s="87" t="s">
        <v>204</v>
      </c>
      <c r="E268" s="88"/>
      <c r="F268" s="89">
        <v>530.91999999999996</v>
      </c>
      <c r="G268" s="89">
        <v>530.91999999999996</v>
      </c>
      <c r="H268" s="89">
        <v>300.2</v>
      </c>
      <c r="I268" s="89"/>
      <c r="J268" s="94">
        <v>56.54</v>
      </c>
      <c r="K268" s="62"/>
    </row>
    <row r="269" spans="2:11" ht="36" customHeight="1" x14ac:dyDescent="0.25">
      <c r="B269" s="74">
        <v>234458</v>
      </c>
      <c r="C269" s="74">
        <v>3299</v>
      </c>
      <c r="D269" s="74" t="s">
        <v>250</v>
      </c>
      <c r="E269" s="75">
        <v>11001</v>
      </c>
      <c r="F269" s="91"/>
      <c r="G269" s="91"/>
      <c r="H269" s="91">
        <v>300.2</v>
      </c>
      <c r="I269" s="89"/>
      <c r="J269" s="94"/>
      <c r="K269" s="62"/>
    </row>
    <row r="270" spans="2:11" ht="36.75" customHeight="1" x14ac:dyDescent="0.25">
      <c r="B270" s="74"/>
      <c r="C270" s="87">
        <v>4</v>
      </c>
      <c r="D270" s="87" t="s">
        <v>258</v>
      </c>
      <c r="E270" s="88"/>
      <c r="F270" s="89">
        <v>200</v>
      </c>
      <c r="G270" s="89">
        <v>200</v>
      </c>
      <c r="H270" s="89">
        <v>0</v>
      </c>
      <c r="I270" s="89"/>
      <c r="J270" s="94">
        <v>0</v>
      </c>
      <c r="K270" s="62"/>
    </row>
    <row r="271" spans="2:11" ht="37.5" customHeight="1" x14ac:dyDescent="0.25">
      <c r="B271" s="74"/>
      <c r="C271" s="87">
        <v>42</v>
      </c>
      <c r="D271" s="87" t="s">
        <v>259</v>
      </c>
      <c r="E271" s="88"/>
      <c r="F271" s="89">
        <v>200</v>
      </c>
      <c r="G271" s="89">
        <v>200</v>
      </c>
      <c r="H271" s="89">
        <v>0</v>
      </c>
      <c r="I271" s="89"/>
      <c r="J271" s="94">
        <v>0</v>
      </c>
      <c r="K271" s="62"/>
    </row>
    <row r="272" spans="2:11" x14ac:dyDescent="0.25">
      <c r="B272" s="74"/>
      <c r="C272" s="87">
        <v>422</v>
      </c>
      <c r="D272" s="87" t="s">
        <v>288</v>
      </c>
      <c r="E272" s="88"/>
      <c r="F272" s="89">
        <v>200</v>
      </c>
      <c r="G272" s="89">
        <v>200</v>
      </c>
      <c r="H272" s="89">
        <v>0</v>
      </c>
      <c r="I272" s="89"/>
      <c r="J272" s="94">
        <v>0</v>
      </c>
      <c r="K272" s="62"/>
    </row>
    <row r="273" spans="2:11" ht="37.5" customHeight="1" x14ac:dyDescent="0.25">
      <c r="B273" s="74">
        <v>234459</v>
      </c>
      <c r="C273" s="74">
        <v>4227</v>
      </c>
      <c r="D273" s="74" t="s">
        <v>290</v>
      </c>
      <c r="E273" s="75" t="s">
        <v>240</v>
      </c>
      <c r="F273" s="91"/>
      <c r="G273" s="91"/>
      <c r="H273" s="91">
        <v>0</v>
      </c>
      <c r="I273" s="204"/>
      <c r="J273" s="205"/>
      <c r="K273" s="62"/>
    </row>
    <row r="274" spans="2:11" x14ac:dyDescent="0.25">
      <c r="B274" s="82"/>
      <c r="C274" s="209" t="s">
        <v>177</v>
      </c>
      <c r="D274" s="210"/>
      <c r="E274" s="83"/>
      <c r="F274" s="83"/>
      <c r="G274" s="83"/>
      <c r="H274" s="83"/>
      <c r="I274" s="204"/>
      <c r="J274" s="205"/>
      <c r="K274" s="62"/>
    </row>
    <row r="275" spans="2:11" x14ac:dyDescent="0.25">
      <c r="B275" s="84" t="s">
        <v>330</v>
      </c>
      <c r="C275" s="211" t="s">
        <v>331</v>
      </c>
      <c r="D275" s="212"/>
      <c r="E275" s="85"/>
      <c r="F275" s="86">
        <v>1593</v>
      </c>
      <c r="G275" s="86">
        <v>1593</v>
      </c>
      <c r="H275" s="86">
        <v>0</v>
      </c>
      <c r="I275" s="213">
        <v>0</v>
      </c>
      <c r="J275" s="214"/>
      <c r="K275" s="62"/>
    </row>
    <row r="276" spans="2:11" x14ac:dyDescent="0.25">
      <c r="B276" s="87"/>
      <c r="C276" s="87" t="s">
        <v>60</v>
      </c>
      <c r="D276" s="87" t="s">
        <v>180</v>
      </c>
      <c r="E276" s="88"/>
      <c r="F276" s="89">
        <v>1593</v>
      </c>
      <c r="G276" s="89">
        <v>1593</v>
      </c>
      <c r="H276" s="89">
        <v>0</v>
      </c>
      <c r="I276" s="204">
        <f t="shared" si="3"/>
        <v>0</v>
      </c>
      <c r="J276" s="205"/>
      <c r="K276" s="62"/>
    </row>
    <row r="277" spans="2:11" x14ac:dyDescent="0.25">
      <c r="B277" s="87"/>
      <c r="C277" s="87" t="s">
        <v>71</v>
      </c>
      <c r="D277" s="87" t="s">
        <v>181</v>
      </c>
      <c r="E277" s="88"/>
      <c r="F277" s="89">
        <v>1593</v>
      </c>
      <c r="G277" s="89">
        <v>1593</v>
      </c>
      <c r="H277" s="89">
        <v>0</v>
      </c>
      <c r="I277" s="204">
        <f t="shared" si="3"/>
        <v>0</v>
      </c>
      <c r="J277" s="205"/>
      <c r="K277" s="62"/>
    </row>
    <row r="278" spans="2:11" ht="30.75" customHeight="1" x14ac:dyDescent="0.25">
      <c r="B278" s="87"/>
      <c r="C278" s="87" t="s">
        <v>79</v>
      </c>
      <c r="D278" s="87" t="s">
        <v>188</v>
      </c>
      <c r="E278" s="88"/>
      <c r="F278" s="89">
        <v>1593</v>
      </c>
      <c r="G278" s="89">
        <v>1593</v>
      </c>
      <c r="H278" s="89">
        <v>0</v>
      </c>
      <c r="I278" s="204">
        <f t="shared" si="3"/>
        <v>0</v>
      </c>
      <c r="J278" s="205"/>
      <c r="K278" s="62"/>
    </row>
    <row r="279" spans="2:11" x14ac:dyDescent="0.25">
      <c r="B279" s="74">
        <v>234460</v>
      </c>
      <c r="C279" s="74">
        <v>3222</v>
      </c>
      <c r="D279" s="74" t="s">
        <v>247</v>
      </c>
      <c r="E279" s="75">
        <v>53060</v>
      </c>
      <c r="F279" s="91"/>
      <c r="G279" s="91"/>
      <c r="H279" s="91">
        <v>0</v>
      </c>
      <c r="I279" s="204">
        <v>0</v>
      </c>
      <c r="J279" s="205"/>
      <c r="K279" s="62"/>
    </row>
    <row r="280" spans="2:11" x14ac:dyDescent="0.25">
      <c r="B280" s="77" t="s">
        <v>271</v>
      </c>
      <c r="C280" s="215" t="s">
        <v>243</v>
      </c>
      <c r="D280" s="216"/>
      <c r="E280" s="78"/>
      <c r="F280" s="79">
        <v>2249</v>
      </c>
      <c r="G280" s="79">
        <v>2249</v>
      </c>
      <c r="H280" s="79">
        <v>25930.37</v>
      </c>
      <c r="I280" s="217">
        <f t="shared" si="3"/>
        <v>1152.9733214762116</v>
      </c>
      <c r="J280" s="216"/>
      <c r="K280" s="62"/>
    </row>
    <row r="281" spans="2:11" x14ac:dyDescent="0.25">
      <c r="B281" s="82"/>
      <c r="C281" s="209" t="s">
        <v>272</v>
      </c>
      <c r="D281" s="210"/>
      <c r="E281" s="83"/>
      <c r="F281" s="83"/>
      <c r="G281" s="83"/>
      <c r="H281" s="83"/>
      <c r="I281" s="204"/>
      <c r="J281" s="205"/>
      <c r="K281" s="62"/>
    </row>
    <row r="282" spans="2:11" x14ac:dyDescent="0.25">
      <c r="B282" s="82" t="s">
        <v>273</v>
      </c>
      <c r="C282" s="209" t="s">
        <v>274</v>
      </c>
      <c r="D282" s="210"/>
      <c r="E282" s="75"/>
      <c r="F282" s="91">
        <v>2124</v>
      </c>
      <c r="G282" s="91">
        <v>2124</v>
      </c>
      <c r="H282" s="91">
        <v>663.75</v>
      </c>
      <c r="I282" s="204">
        <f t="shared" si="3"/>
        <v>31.25</v>
      </c>
      <c r="J282" s="205"/>
      <c r="K282" s="62"/>
    </row>
    <row r="283" spans="2:11" ht="24" customHeight="1" x14ac:dyDescent="0.25">
      <c r="B283" s="87"/>
      <c r="C283" s="87" t="s">
        <v>60</v>
      </c>
      <c r="D283" s="87" t="s">
        <v>180</v>
      </c>
      <c r="E283" s="88"/>
      <c r="F283" s="89">
        <v>2124</v>
      </c>
      <c r="G283" s="89">
        <v>2124</v>
      </c>
      <c r="H283" s="89">
        <v>663.75</v>
      </c>
      <c r="I283" s="204">
        <f t="shared" si="3"/>
        <v>31.25</v>
      </c>
      <c r="J283" s="205"/>
      <c r="K283" s="62"/>
    </row>
    <row r="284" spans="2:11" ht="25.5" customHeight="1" x14ac:dyDescent="0.25">
      <c r="B284" s="87"/>
      <c r="C284" s="87" t="s">
        <v>61</v>
      </c>
      <c r="D284" s="87" t="s">
        <v>228</v>
      </c>
      <c r="E284" s="88"/>
      <c r="F284" s="89">
        <v>1646.2</v>
      </c>
      <c r="G284" s="89">
        <v>1646.2</v>
      </c>
      <c r="H284" s="89">
        <v>849.6</v>
      </c>
      <c r="I284" s="204">
        <f t="shared" si="3"/>
        <v>51.609767950431298</v>
      </c>
      <c r="J284" s="205"/>
      <c r="K284" s="62"/>
    </row>
    <row r="285" spans="2:11" x14ac:dyDescent="0.25">
      <c r="B285" s="87"/>
      <c r="C285" s="87" t="s">
        <v>62</v>
      </c>
      <c r="D285" s="87" t="s">
        <v>229</v>
      </c>
      <c r="E285" s="88"/>
      <c r="F285" s="89">
        <v>1646.2</v>
      </c>
      <c r="G285" s="89">
        <v>1646.2</v>
      </c>
      <c r="H285" s="89">
        <v>543.41</v>
      </c>
      <c r="I285" s="204">
        <f t="shared" si="3"/>
        <v>33.009962337504547</v>
      </c>
      <c r="J285" s="205"/>
      <c r="K285" s="62"/>
    </row>
    <row r="286" spans="2:11" ht="24.75" customHeight="1" x14ac:dyDescent="0.25">
      <c r="B286" s="74">
        <v>234461</v>
      </c>
      <c r="C286" s="74" t="s">
        <v>63</v>
      </c>
      <c r="D286" s="74" t="s">
        <v>230</v>
      </c>
      <c r="E286" s="75" t="s">
        <v>240</v>
      </c>
      <c r="F286" s="91"/>
      <c r="G286" s="91"/>
      <c r="H286" s="91">
        <v>543.41</v>
      </c>
      <c r="I286" s="204">
        <v>0</v>
      </c>
      <c r="J286" s="205"/>
      <c r="K286" s="62"/>
    </row>
    <row r="287" spans="2:11" ht="27.75" customHeight="1" x14ac:dyDescent="0.25">
      <c r="B287" s="87"/>
      <c r="C287" s="87" t="s">
        <v>67</v>
      </c>
      <c r="D287" s="87" t="s">
        <v>232</v>
      </c>
      <c r="E287" s="88"/>
      <c r="F287" s="89">
        <v>344.8</v>
      </c>
      <c r="G287" s="89">
        <v>344.8</v>
      </c>
      <c r="H287" s="89">
        <v>120.34</v>
      </c>
      <c r="I287" s="204">
        <f t="shared" si="3"/>
        <v>34.901392111368914</v>
      </c>
      <c r="J287" s="205"/>
      <c r="K287" s="62"/>
    </row>
    <row r="288" spans="2:11" ht="36.75" customHeight="1" x14ac:dyDescent="0.25">
      <c r="B288" s="74">
        <v>234462</v>
      </c>
      <c r="C288" s="74" t="s">
        <v>69</v>
      </c>
      <c r="D288" s="74" t="s">
        <v>233</v>
      </c>
      <c r="E288" s="75" t="s">
        <v>240</v>
      </c>
      <c r="F288" s="91">
        <v>344.8</v>
      </c>
      <c r="G288" s="91">
        <v>344.8</v>
      </c>
      <c r="H288" s="91">
        <v>120.32</v>
      </c>
      <c r="I288" s="204">
        <f t="shared" si="3"/>
        <v>34.895591647331784</v>
      </c>
      <c r="J288" s="205"/>
      <c r="K288" s="62"/>
    </row>
    <row r="289" spans="2:11" x14ac:dyDescent="0.25">
      <c r="B289" s="87"/>
      <c r="C289" s="87" t="s">
        <v>71</v>
      </c>
      <c r="D289" s="87" t="s">
        <v>181</v>
      </c>
      <c r="E289" s="88"/>
      <c r="F289" s="89">
        <v>133</v>
      </c>
      <c r="G289" s="89">
        <v>133</v>
      </c>
      <c r="H289" s="89">
        <v>0</v>
      </c>
      <c r="I289" s="204">
        <f t="shared" si="3"/>
        <v>0</v>
      </c>
      <c r="J289" s="205"/>
      <c r="K289" s="62"/>
    </row>
    <row r="290" spans="2:11" ht="28.5" customHeight="1" x14ac:dyDescent="0.25">
      <c r="B290" s="87"/>
      <c r="C290" s="87" t="s">
        <v>72</v>
      </c>
      <c r="D290" s="87" t="s">
        <v>182</v>
      </c>
      <c r="E290" s="88"/>
      <c r="F290" s="89">
        <v>133</v>
      </c>
      <c r="G290" s="89">
        <v>133</v>
      </c>
      <c r="H290" s="89">
        <v>0</v>
      </c>
      <c r="I290" s="204">
        <f t="shared" si="3"/>
        <v>0</v>
      </c>
      <c r="J290" s="205"/>
      <c r="K290" s="62"/>
    </row>
    <row r="291" spans="2:11" x14ac:dyDescent="0.25">
      <c r="B291" s="74">
        <v>234463</v>
      </c>
      <c r="C291" s="74">
        <v>3211</v>
      </c>
      <c r="D291" s="74" t="s">
        <v>184</v>
      </c>
      <c r="E291" s="75" t="s">
        <v>240</v>
      </c>
      <c r="F291" s="91"/>
      <c r="G291" s="91"/>
      <c r="H291" s="91">
        <v>0</v>
      </c>
      <c r="I291" s="204">
        <v>0</v>
      </c>
      <c r="J291" s="205"/>
      <c r="K291" s="62"/>
    </row>
    <row r="292" spans="2:11" x14ac:dyDescent="0.25">
      <c r="B292" s="82"/>
      <c r="C292" s="209" t="s">
        <v>272</v>
      </c>
      <c r="D292" s="210"/>
      <c r="E292" s="83"/>
      <c r="F292" s="83"/>
      <c r="G292" s="83"/>
      <c r="H292" s="83"/>
      <c r="I292" s="204">
        <v>0</v>
      </c>
      <c r="J292" s="205"/>
      <c r="K292" s="62"/>
    </row>
    <row r="293" spans="2:11" ht="19.5" customHeight="1" x14ac:dyDescent="0.25">
      <c r="B293" s="82" t="s">
        <v>275</v>
      </c>
      <c r="C293" s="209" t="s">
        <v>276</v>
      </c>
      <c r="D293" s="210"/>
      <c r="E293" s="75"/>
      <c r="F293" s="91">
        <v>125</v>
      </c>
      <c r="G293" s="91">
        <v>125</v>
      </c>
      <c r="H293" s="91">
        <v>0</v>
      </c>
      <c r="I293" s="204">
        <f t="shared" ref="I293:I351" si="4">+H293/G293*100</f>
        <v>0</v>
      </c>
      <c r="J293" s="205"/>
      <c r="K293" s="62"/>
    </row>
    <row r="294" spans="2:11" x14ac:dyDescent="0.25">
      <c r="B294" s="87"/>
      <c r="C294" s="87" t="s">
        <v>60</v>
      </c>
      <c r="D294" s="87" t="s">
        <v>180</v>
      </c>
      <c r="E294" s="88"/>
      <c r="F294" s="89">
        <v>125</v>
      </c>
      <c r="G294" s="89">
        <v>125</v>
      </c>
      <c r="H294" s="89">
        <v>0</v>
      </c>
      <c r="I294" s="204">
        <f t="shared" si="4"/>
        <v>0</v>
      </c>
      <c r="J294" s="205"/>
      <c r="K294" s="62"/>
    </row>
    <row r="295" spans="2:11" ht="23.25" customHeight="1" x14ac:dyDescent="0.25">
      <c r="B295" s="87"/>
      <c r="C295" s="87" t="s">
        <v>71</v>
      </c>
      <c r="D295" s="87" t="s">
        <v>181</v>
      </c>
      <c r="E295" s="88"/>
      <c r="F295" s="89">
        <v>125</v>
      </c>
      <c r="G295" s="89">
        <v>125</v>
      </c>
      <c r="H295" s="89">
        <v>0</v>
      </c>
      <c r="I295" s="204">
        <f t="shared" si="4"/>
        <v>0</v>
      </c>
      <c r="J295" s="205"/>
      <c r="K295" s="62"/>
    </row>
    <row r="296" spans="2:11" ht="27" customHeight="1" x14ac:dyDescent="0.25">
      <c r="B296" s="87"/>
      <c r="C296" s="87" t="s">
        <v>79</v>
      </c>
      <c r="D296" s="87" t="s">
        <v>188</v>
      </c>
      <c r="E296" s="88"/>
      <c r="F296" s="89">
        <v>125</v>
      </c>
      <c r="G296" s="89">
        <v>125</v>
      </c>
      <c r="H296" s="89">
        <v>0</v>
      </c>
      <c r="I296" s="204">
        <f t="shared" si="4"/>
        <v>0</v>
      </c>
      <c r="J296" s="205"/>
      <c r="K296" s="62"/>
    </row>
    <row r="297" spans="2:11" ht="22.5" customHeight="1" x14ac:dyDescent="0.25">
      <c r="B297" s="74">
        <v>234464</v>
      </c>
      <c r="C297" s="74" t="s">
        <v>83</v>
      </c>
      <c r="D297" s="74" t="s">
        <v>247</v>
      </c>
      <c r="E297" s="75" t="s">
        <v>277</v>
      </c>
      <c r="F297" s="91"/>
      <c r="G297" s="91"/>
      <c r="H297" s="91">
        <v>0</v>
      </c>
      <c r="I297" s="204">
        <v>0</v>
      </c>
      <c r="J297" s="205"/>
      <c r="K297" s="62"/>
    </row>
    <row r="298" spans="2:11" x14ac:dyDescent="0.25">
      <c r="B298" s="82"/>
      <c r="C298" s="209" t="s">
        <v>272</v>
      </c>
      <c r="D298" s="210"/>
      <c r="E298" s="83"/>
      <c r="F298" s="83"/>
      <c r="G298" s="83"/>
      <c r="H298" s="83"/>
      <c r="I298" s="204"/>
      <c r="J298" s="205"/>
      <c r="K298" s="62"/>
    </row>
    <row r="299" spans="2:11" x14ac:dyDescent="0.25">
      <c r="B299" s="82" t="s">
        <v>278</v>
      </c>
      <c r="C299" s="209" t="s">
        <v>279</v>
      </c>
      <c r="D299" s="210"/>
      <c r="E299" s="75"/>
      <c r="F299" s="91">
        <v>0</v>
      </c>
      <c r="G299" s="91">
        <v>0</v>
      </c>
      <c r="H299" s="91">
        <v>24793.86</v>
      </c>
      <c r="I299" s="204">
        <v>0</v>
      </c>
      <c r="J299" s="205"/>
      <c r="K299" s="62"/>
    </row>
    <row r="300" spans="2:11" ht="19.5" customHeight="1" x14ac:dyDescent="0.25">
      <c r="B300" s="87"/>
      <c r="C300" s="87" t="s">
        <v>60</v>
      </c>
      <c r="D300" s="87" t="s">
        <v>180</v>
      </c>
      <c r="E300" s="88"/>
      <c r="F300" s="89">
        <v>0</v>
      </c>
      <c r="G300" s="89">
        <v>0</v>
      </c>
      <c r="H300" s="89">
        <v>24793.86</v>
      </c>
      <c r="I300" s="204">
        <v>0</v>
      </c>
      <c r="J300" s="205"/>
      <c r="K300" s="62"/>
    </row>
    <row r="301" spans="2:11" ht="21.75" customHeight="1" x14ac:dyDescent="0.25">
      <c r="B301" s="87"/>
      <c r="C301" s="87" t="s">
        <v>71</v>
      </c>
      <c r="D301" s="87" t="s">
        <v>181</v>
      </c>
      <c r="E301" s="88"/>
      <c r="F301" s="89">
        <v>0</v>
      </c>
      <c r="G301" s="89">
        <v>0</v>
      </c>
      <c r="H301" s="89">
        <v>24793.86</v>
      </c>
      <c r="I301" s="204">
        <v>0</v>
      </c>
      <c r="J301" s="205"/>
      <c r="K301" s="62"/>
    </row>
    <row r="302" spans="2:11" ht="19.5" customHeight="1" x14ac:dyDescent="0.25">
      <c r="B302" s="87"/>
      <c r="C302" s="87" t="s">
        <v>79</v>
      </c>
      <c r="D302" s="87" t="s">
        <v>188</v>
      </c>
      <c r="E302" s="88"/>
      <c r="F302" s="89">
        <v>0</v>
      </c>
      <c r="G302" s="89">
        <v>0</v>
      </c>
      <c r="H302" s="89">
        <v>24793.86</v>
      </c>
      <c r="I302" s="204">
        <v>0</v>
      </c>
      <c r="J302" s="205"/>
      <c r="K302" s="62"/>
    </row>
    <row r="303" spans="2:11" ht="27" customHeight="1" x14ac:dyDescent="0.25">
      <c r="B303" s="74">
        <v>234464.01</v>
      </c>
      <c r="C303" s="74" t="s">
        <v>83</v>
      </c>
      <c r="D303" s="74" t="s">
        <v>247</v>
      </c>
      <c r="E303" s="75" t="s">
        <v>225</v>
      </c>
      <c r="F303" s="91">
        <v>0</v>
      </c>
      <c r="G303" s="91">
        <v>0</v>
      </c>
      <c r="H303" s="91">
        <v>24793.86</v>
      </c>
      <c r="I303" s="204">
        <v>0</v>
      </c>
      <c r="J303" s="205"/>
      <c r="K303" s="62"/>
    </row>
    <row r="304" spans="2:11" x14ac:dyDescent="0.25">
      <c r="B304" s="82"/>
      <c r="C304" s="209" t="s">
        <v>272</v>
      </c>
      <c r="D304" s="210"/>
      <c r="E304" s="83"/>
      <c r="F304" s="83"/>
      <c r="G304" s="83"/>
      <c r="H304" s="83"/>
      <c r="I304" s="204"/>
      <c r="J304" s="205"/>
      <c r="K304" s="62"/>
    </row>
    <row r="305" spans="2:11" x14ac:dyDescent="0.25">
      <c r="B305" s="82" t="s">
        <v>280</v>
      </c>
      <c r="C305" s="209" t="s">
        <v>281</v>
      </c>
      <c r="D305" s="210"/>
      <c r="E305" s="75"/>
      <c r="F305" s="91">
        <v>0</v>
      </c>
      <c r="G305" s="91">
        <v>0</v>
      </c>
      <c r="H305" s="91">
        <v>472.76</v>
      </c>
      <c r="I305" s="204">
        <v>0</v>
      </c>
      <c r="J305" s="205"/>
      <c r="K305" s="62"/>
    </row>
    <row r="306" spans="2:11" ht="18.75" customHeight="1" x14ac:dyDescent="0.25">
      <c r="B306" s="87"/>
      <c r="C306" s="87" t="s">
        <v>60</v>
      </c>
      <c r="D306" s="87" t="s">
        <v>180</v>
      </c>
      <c r="E306" s="88"/>
      <c r="F306" s="89">
        <v>0</v>
      </c>
      <c r="G306" s="89">
        <v>0</v>
      </c>
      <c r="H306" s="89">
        <v>472.76</v>
      </c>
      <c r="I306" s="204">
        <v>0</v>
      </c>
      <c r="J306" s="205"/>
      <c r="K306" s="62"/>
    </row>
    <row r="307" spans="2:11" x14ac:dyDescent="0.25">
      <c r="B307" s="87"/>
      <c r="C307" s="87" t="s">
        <v>136</v>
      </c>
      <c r="D307" s="87" t="s">
        <v>254</v>
      </c>
      <c r="E307" s="88"/>
      <c r="F307" s="89">
        <v>0</v>
      </c>
      <c r="G307" s="89">
        <v>0</v>
      </c>
      <c r="H307" s="89">
        <v>472.76</v>
      </c>
      <c r="I307" s="204">
        <v>0</v>
      </c>
      <c r="J307" s="205"/>
      <c r="K307" s="62"/>
    </row>
    <row r="308" spans="2:11" ht="25.5" customHeight="1" x14ac:dyDescent="0.25">
      <c r="B308" s="87"/>
      <c r="C308" s="87" t="s">
        <v>138</v>
      </c>
      <c r="D308" s="87" t="s">
        <v>255</v>
      </c>
      <c r="E308" s="88"/>
      <c r="F308" s="89">
        <v>0</v>
      </c>
      <c r="G308" s="89">
        <v>0</v>
      </c>
      <c r="H308" s="89" t="s">
        <v>332</v>
      </c>
      <c r="I308" s="204">
        <v>0</v>
      </c>
      <c r="J308" s="205"/>
      <c r="K308" s="62"/>
    </row>
    <row r="309" spans="2:11" ht="24" customHeight="1" x14ac:dyDescent="0.25">
      <c r="B309" s="74">
        <v>234464</v>
      </c>
      <c r="C309" s="74" t="s">
        <v>139</v>
      </c>
      <c r="D309" s="74" t="s">
        <v>282</v>
      </c>
      <c r="E309" s="75" t="s">
        <v>283</v>
      </c>
      <c r="F309" s="91">
        <v>0</v>
      </c>
      <c r="G309" s="91">
        <v>0</v>
      </c>
      <c r="H309" s="91">
        <v>472.76</v>
      </c>
      <c r="I309" s="204">
        <v>0</v>
      </c>
      <c r="J309" s="205"/>
      <c r="K309" s="62"/>
    </row>
    <row r="310" spans="2:11" x14ac:dyDescent="0.25">
      <c r="B310" s="77" t="s">
        <v>284</v>
      </c>
      <c r="C310" s="215" t="s">
        <v>285</v>
      </c>
      <c r="D310" s="216"/>
      <c r="E310" s="78"/>
      <c r="F310" s="79">
        <v>13805</v>
      </c>
      <c r="G310" s="79">
        <v>13805</v>
      </c>
      <c r="H310" s="79">
        <v>28845.25</v>
      </c>
      <c r="I310" s="217">
        <f t="shared" si="4"/>
        <v>208.94784498370154</v>
      </c>
      <c r="J310" s="216"/>
      <c r="K310" s="62"/>
    </row>
    <row r="311" spans="2:11" x14ac:dyDescent="0.25">
      <c r="B311" s="82"/>
      <c r="C311" s="209" t="s">
        <v>177</v>
      </c>
      <c r="D311" s="210"/>
      <c r="E311" s="83"/>
      <c r="F311" s="83"/>
      <c r="G311" s="83"/>
      <c r="H311" s="83"/>
      <c r="I311" s="204"/>
      <c r="J311" s="205"/>
      <c r="K311" s="62"/>
    </row>
    <row r="312" spans="2:11" x14ac:dyDescent="0.25">
      <c r="B312" s="84" t="s">
        <v>286</v>
      </c>
      <c r="C312" s="211" t="s">
        <v>287</v>
      </c>
      <c r="D312" s="212"/>
      <c r="E312" s="85"/>
      <c r="F312" s="86"/>
      <c r="G312" s="86"/>
      <c r="H312" s="86">
        <v>26544.560000000001</v>
      </c>
      <c r="I312" s="213">
        <v>0</v>
      </c>
      <c r="J312" s="214"/>
      <c r="K312" s="62"/>
    </row>
    <row r="313" spans="2:11" ht="30" customHeight="1" x14ac:dyDescent="0.25">
      <c r="B313" s="87"/>
      <c r="C313" s="87" t="s">
        <v>141</v>
      </c>
      <c r="D313" s="87" t="s">
        <v>258</v>
      </c>
      <c r="E313" s="88"/>
      <c r="F313" s="89">
        <v>0</v>
      </c>
      <c r="G313" s="89">
        <v>0</v>
      </c>
      <c r="H313" s="89">
        <v>26544.560000000001</v>
      </c>
      <c r="I313" s="204">
        <v>0</v>
      </c>
      <c r="J313" s="205"/>
      <c r="K313" s="62"/>
    </row>
    <row r="314" spans="2:11" ht="34.5" customHeight="1" x14ac:dyDescent="0.25">
      <c r="B314" s="87"/>
      <c r="C314" s="87" t="s">
        <v>142</v>
      </c>
      <c r="D314" s="87" t="s">
        <v>259</v>
      </c>
      <c r="E314" s="88"/>
      <c r="F314" s="89">
        <v>0</v>
      </c>
      <c r="G314" s="89">
        <v>0</v>
      </c>
      <c r="H314" s="89">
        <v>26544.560000000001</v>
      </c>
      <c r="I314" s="204">
        <v>0</v>
      </c>
      <c r="J314" s="205"/>
      <c r="K314" s="62"/>
    </row>
    <row r="315" spans="2:11" ht="22.5" customHeight="1" x14ac:dyDescent="0.25">
      <c r="B315" s="87"/>
      <c r="C315" s="87" t="s">
        <v>144</v>
      </c>
      <c r="D315" s="87" t="s">
        <v>288</v>
      </c>
      <c r="E315" s="88"/>
      <c r="F315" s="89">
        <v>0</v>
      </c>
      <c r="G315" s="89">
        <v>0</v>
      </c>
      <c r="H315" s="89">
        <v>26544.560000000001</v>
      </c>
      <c r="I315" s="204">
        <v>0</v>
      </c>
      <c r="J315" s="205"/>
      <c r="K315" s="62"/>
    </row>
    <row r="316" spans="2:11" ht="21" customHeight="1" x14ac:dyDescent="0.25">
      <c r="B316" s="74">
        <v>234464</v>
      </c>
      <c r="C316" s="74" t="s">
        <v>146</v>
      </c>
      <c r="D316" s="74" t="s">
        <v>289</v>
      </c>
      <c r="E316" s="75">
        <v>55516</v>
      </c>
      <c r="F316" s="91">
        <v>0</v>
      </c>
      <c r="G316" s="91">
        <v>0</v>
      </c>
      <c r="H316" s="91">
        <v>18010.48</v>
      </c>
      <c r="I316" s="204">
        <v>0</v>
      </c>
      <c r="J316" s="205"/>
      <c r="K316" s="62"/>
    </row>
    <row r="317" spans="2:11" ht="23.25" customHeight="1" x14ac:dyDescent="0.25">
      <c r="B317" s="74">
        <v>234464</v>
      </c>
      <c r="C317" s="74" t="s">
        <v>146</v>
      </c>
      <c r="D317" s="74" t="s">
        <v>289</v>
      </c>
      <c r="E317" s="75">
        <v>55629</v>
      </c>
      <c r="F317" s="91">
        <v>0</v>
      </c>
      <c r="G317" s="91">
        <v>0</v>
      </c>
      <c r="H317" s="91">
        <v>8534.08</v>
      </c>
      <c r="I317" s="204">
        <v>0</v>
      </c>
      <c r="J317" s="205"/>
      <c r="K317" s="62"/>
    </row>
    <row r="318" spans="2:11" x14ac:dyDescent="0.25">
      <c r="B318" s="82"/>
      <c r="C318" s="209" t="s">
        <v>177</v>
      </c>
      <c r="D318" s="210"/>
      <c r="E318" s="83"/>
      <c r="F318" s="83"/>
      <c r="G318" s="83"/>
      <c r="H318" s="83"/>
      <c r="I318" s="204"/>
      <c r="J318" s="205"/>
      <c r="K318" s="62"/>
    </row>
    <row r="319" spans="2:11" x14ac:dyDescent="0.25">
      <c r="B319" s="84" t="s">
        <v>291</v>
      </c>
      <c r="C319" s="211" t="s">
        <v>292</v>
      </c>
      <c r="D319" s="212"/>
      <c r="E319" s="85"/>
      <c r="F319" s="86">
        <v>3090</v>
      </c>
      <c r="G319" s="86">
        <v>3090</v>
      </c>
      <c r="H319" s="86">
        <v>2300.69</v>
      </c>
      <c r="I319" s="213">
        <f t="shared" si="4"/>
        <v>74.45598705501618</v>
      </c>
      <c r="J319" s="214"/>
      <c r="K319" s="62"/>
    </row>
    <row r="320" spans="2:11" ht="30.75" customHeight="1" x14ac:dyDescent="0.25">
      <c r="B320" s="87"/>
      <c r="C320" s="87" t="s">
        <v>141</v>
      </c>
      <c r="D320" s="87" t="s">
        <v>258</v>
      </c>
      <c r="E320" s="88"/>
      <c r="F320" s="89">
        <v>3090</v>
      </c>
      <c r="G320" s="89">
        <v>3090</v>
      </c>
      <c r="H320" s="89">
        <v>2300.69</v>
      </c>
      <c r="I320" s="204">
        <f t="shared" si="4"/>
        <v>74.45598705501618</v>
      </c>
      <c r="J320" s="205"/>
      <c r="K320" s="62"/>
    </row>
    <row r="321" spans="2:11" ht="37.5" customHeight="1" x14ac:dyDescent="0.25">
      <c r="B321" s="87"/>
      <c r="C321" s="87" t="s">
        <v>142</v>
      </c>
      <c r="D321" s="87" t="s">
        <v>259</v>
      </c>
      <c r="E321" s="88"/>
      <c r="F321" s="89">
        <v>3090</v>
      </c>
      <c r="G321" s="89">
        <v>3090</v>
      </c>
      <c r="H321" s="89">
        <v>2300.69</v>
      </c>
      <c r="I321" s="204">
        <f t="shared" si="4"/>
        <v>74.45598705501618</v>
      </c>
      <c r="J321" s="205"/>
      <c r="K321" s="62"/>
    </row>
    <row r="322" spans="2:11" ht="32.25" customHeight="1" x14ac:dyDescent="0.25">
      <c r="B322" s="87"/>
      <c r="C322" s="87" t="s">
        <v>260</v>
      </c>
      <c r="D322" s="87" t="s">
        <v>261</v>
      </c>
      <c r="E322" s="88"/>
      <c r="F322" s="89">
        <v>3090</v>
      </c>
      <c r="G322" s="89">
        <v>3090</v>
      </c>
      <c r="H322" s="89">
        <v>2300.69</v>
      </c>
      <c r="I322" s="204">
        <f t="shared" si="4"/>
        <v>74.45598705501618</v>
      </c>
      <c r="J322" s="205"/>
      <c r="K322" s="62"/>
    </row>
    <row r="323" spans="2:11" x14ac:dyDescent="0.25">
      <c r="B323" s="74">
        <v>234465</v>
      </c>
      <c r="C323" s="74">
        <v>4241</v>
      </c>
      <c r="D323" s="74" t="s">
        <v>262</v>
      </c>
      <c r="E323" s="75">
        <v>55629</v>
      </c>
      <c r="F323" s="91"/>
      <c r="G323" s="91"/>
      <c r="H323" s="91">
        <v>739.68</v>
      </c>
      <c r="I323" s="91"/>
      <c r="J323" s="93"/>
      <c r="K323" s="62"/>
    </row>
    <row r="324" spans="2:11" x14ac:dyDescent="0.25">
      <c r="B324" s="74">
        <v>234466</v>
      </c>
      <c r="C324" s="74">
        <v>4241</v>
      </c>
      <c r="D324" s="74" t="s">
        <v>262</v>
      </c>
      <c r="E324" s="75">
        <v>11001</v>
      </c>
      <c r="F324" s="91"/>
      <c r="G324" s="91"/>
      <c r="H324" s="91">
        <v>0</v>
      </c>
      <c r="I324" s="91"/>
      <c r="J324" s="93"/>
      <c r="K324" s="62"/>
    </row>
    <row r="325" spans="2:11" x14ac:dyDescent="0.25">
      <c r="B325" s="74">
        <v>234467</v>
      </c>
      <c r="C325" s="74">
        <v>4241</v>
      </c>
      <c r="D325" s="74" t="s">
        <v>262</v>
      </c>
      <c r="E325" s="75">
        <v>55516</v>
      </c>
      <c r="F325" s="91"/>
      <c r="G325" s="91"/>
      <c r="H325" s="91">
        <v>1561.01</v>
      </c>
      <c r="I325" s="91"/>
      <c r="J325" s="93"/>
      <c r="K325" s="62"/>
    </row>
    <row r="326" spans="2:11" x14ac:dyDescent="0.25">
      <c r="B326" s="74"/>
      <c r="C326" s="106" t="s">
        <v>307</v>
      </c>
      <c r="D326" s="74">
        <v>912</v>
      </c>
      <c r="E326" s="75"/>
      <c r="F326" s="91"/>
      <c r="G326" s="91"/>
      <c r="H326" s="91"/>
      <c r="I326" s="91"/>
      <c r="J326" s="93"/>
      <c r="K326" s="62"/>
    </row>
    <row r="327" spans="2:11" ht="24.75" customHeight="1" x14ac:dyDescent="0.25">
      <c r="B327" s="84" t="s">
        <v>333</v>
      </c>
      <c r="C327" s="84"/>
      <c r="D327" s="84" t="s">
        <v>334</v>
      </c>
      <c r="E327" s="85"/>
      <c r="F327" s="86">
        <v>10715</v>
      </c>
      <c r="G327" s="86">
        <v>10715</v>
      </c>
      <c r="H327" s="86">
        <v>0</v>
      </c>
      <c r="I327" s="86"/>
      <c r="J327" s="97">
        <v>0</v>
      </c>
      <c r="K327" s="62"/>
    </row>
    <row r="328" spans="2:11" ht="33" customHeight="1" x14ac:dyDescent="0.25">
      <c r="B328" s="74"/>
      <c r="C328" s="87">
        <v>4</v>
      </c>
      <c r="D328" s="87" t="s">
        <v>258</v>
      </c>
      <c r="E328" s="88"/>
      <c r="F328" s="89">
        <v>10715</v>
      </c>
      <c r="G328" s="89">
        <v>10715</v>
      </c>
      <c r="H328" s="89">
        <v>0</v>
      </c>
      <c r="I328" s="91"/>
      <c r="J328" s="95">
        <v>0</v>
      </c>
      <c r="K328" s="62"/>
    </row>
    <row r="329" spans="2:11" ht="21.75" customHeight="1" x14ac:dyDescent="0.25">
      <c r="B329" s="74"/>
      <c r="C329" s="87">
        <v>41</v>
      </c>
      <c r="D329" s="87" t="s">
        <v>338</v>
      </c>
      <c r="E329" s="88"/>
      <c r="F329" s="89">
        <v>10715</v>
      </c>
      <c r="G329" s="89">
        <v>10715</v>
      </c>
      <c r="H329" s="89">
        <v>0</v>
      </c>
      <c r="I329" s="91"/>
      <c r="J329" s="95">
        <v>0</v>
      </c>
      <c r="K329" s="62"/>
    </row>
    <row r="330" spans="2:11" ht="25.5" customHeight="1" x14ac:dyDescent="0.25">
      <c r="B330" s="74"/>
      <c r="C330" s="87">
        <v>412</v>
      </c>
      <c r="D330" s="87" t="s">
        <v>335</v>
      </c>
      <c r="E330" s="88"/>
      <c r="F330" s="89">
        <v>10715</v>
      </c>
      <c r="G330" s="89">
        <v>10715</v>
      </c>
      <c r="H330" s="89">
        <v>0</v>
      </c>
      <c r="I330" s="91"/>
      <c r="J330" s="95">
        <v>0</v>
      </c>
      <c r="K330" s="62"/>
    </row>
    <row r="331" spans="2:11" ht="21.75" customHeight="1" x14ac:dyDescent="0.25">
      <c r="B331" s="74">
        <v>234468</v>
      </c>
      <c r="C331" s="74">
        <v>4126</v>
      </c>
      <c r="D331" s="74" t="s">
        <v>336</v>
      </c>
      <c r="E331" s="75">
        <v>55516</v>
      </c>
      <c r="F331" s="91"/>
      <c r="G331" s="91"/>
      <c r="H331" s="91">
        <v>0</v>
      </c>
      <c r="I331" s="91"/>
      <c r="J331" s="95">
        <v>0</v>
      </c>
      <c r="K331" s="62"/>
    </row>
    <row r="332" spans="2:11" ht="18" customHeight="1" x14ac:dyDescent="0.25">
      <c r="B332" s="74">
        <v>234469</v>
      </c>
      <c r="C332" s="74">
        <v>4126</v>
      </c>
      <c r="D332" s="74" t="s">
        <v>336</v>
      </c>
      <c r="E332" s="75">
        <v>55629</v>
      </c>
      <c r="F332" s="91"/>
      <c r="G332" s="91"/>
      <c r="H332" s="91">
        <v>0</v>
      </c>
      <c r="I332" s="204"/>
      <c r="J332" s="205"/>
      <c r="K332" s="62"/>
    </row>
    <row r="333" spans="2:11" x14ac:dyDescent="0.25">
      <c r="B333" s="77" t="s">
        <v>293</v>
      </c>
      <c r="C333" s="215" t="s">
        <v>294</v>
      </c>
      <c r="D333" s="216"/>
      <c r="E333" s="78"/>
      <c r="F333" s="79">
        <v>7725</v>
      </c>
      <c r="G333" s="79">
        <v>7725</v>
      </c>
      <c r="H333" s="79">
        <v>8737.4699999999993</v>
      </c>
      <c r="I333" s="217">
        <f t="shared" si="4"/>
        <v>113.10640776699029</v>
      </c>
      <c r="J333" s="216"/>
      <c r="K333" s="62"/>
    </row>
    <row r="334" spans="2:11" x14ac:dyDescent="0.25">
      <c r="B334" s="82"/>
      <c r="C334" s="209" t="s">
        <v>253</v>
      </c>
      <c r="D334" s="210"/>
      <c r="E334" s="83"/>
      <c r="F334" s="83"/>
      <c r="G334" s="83"/>
      <c r="H334" s="83"/>
      <c r="I334" s="204"/>
      <c r="J334" s="205"/>
      <c r="K334" s="62"/>
    </row>
    <row r="335" spans="2:11" x14ac:dyDescent="0.25">
      <c r="B335" s="84" t="s">
        <v>295</v>
      </c>
      <c r="C335" s="211" t="s">
        <v>296</v>
      </c>
      <c r="D335" s="212"/>
      <c r="E335" s="85"/>
      <c r="F335" s="86">
        <v>7725</v>
      </c>
      <c r="G335" s="86">
        <v>7725</v>
      </c>
      <c r="H335" s="86">
        <v>8737.4699999999993</v>
      </c>
      <c r="I335" s="213">
        <f t="shared" si="4"/>
        <v>113.10640776699029</v>
      </c>
      <c r="J335" s="214"/>
      <c r="K335" s="62"/>
    </row>
    <row r="336" spans="2:11" ht="23.25" customHeight="1" x14ac:dyDescent="0.25">
      <c r="B336" s="87"/>
      <c r="C336" s="87" t="s">
        <v>60</v>
      </c>
      <c r="D336" s="87" t="s">
        <v>180</v>
      </c>
      <c r="E336" s="88"/>
      <c r="F336" s="89">
        <v>7725</v>
      </c>
      <c r="G336" s="89">
        <v>7725</v>
      </c>
      <c r="H336" s="89">
        <v>8737.4699999999993</v>
      </c>
      <c r="I336" s="204">
        <f t="shared" si="4"/>
        <v>113.10640776699029</v>
      </c>
      <c r="J336" s="205"/>
      <c r="K336" s="62"/>
    </row>
    <row r="337" spans="2:11" ht="17.25" customHeight="1" x14ac:dyDescent="0.25">
      <c r="B337" s="87"/>
      <c r="C337" s="87" t="s">
        <v>61</v>
      </c>
      <c r="D337" s="87" t="s">
        <v>228</v>
      </c>
      <c r="E337" s="88"/>
      <c r="F337" s="89">
        <v>5707.08</v>
      </c>
      <c r="G337" s="89">
        <v>5707.08</v>
      </c>
      <c r="H337" s="89">
        <v>6719.55</v>
      </c>
      <c r="I337" s="204">
        <f t="shared" si="4"/>
        <v>117.74059589141908</v>
      </c>
      <c r="J337" s="205"/>
      <c r="K337" s="62"/>
    </row>
    <row r="338" spans="2:11" x14ac:dyDescent="0.25">
      <c r="B338" s="87"/>
      <c r="C338" s="87" t="s">
        <v>62</v>
      </c>
      <c r="D338" s="87" t="s">
        <v>229</v>
      </c>
      <c r="E338" s="88"/>
      <c r="F338" s="89">
        <v>5707.08</v>
      </c>
      <c r="G338" s="89">
        <v>5707.08</v>
      </c>
      <c r="H338" s="89">
        <v>6719.55</v>
      </c>
      <c r="I338" s="204">
        <f t="shared" si="4"/>
        <v>117.74059589141908</v>
      </c>
      <c r="J338" s="205"/>
      <c r="K338" s="62"/>
    </row>
    <row r="339" spans="2:11" ht="21" customHeight="1" x14ac:dyDescent="0.25">
      <c r="B339" s="74">
        <v>234470</v>
      </c>
      <c r="C339" s="74" t="s">
        <v>63</v>
      </c>
      <c r="D339" s="74" t="s">
        <v>230</v>
      </c>
      <c r="E339" s="75" t="s">
        <v>240</v>
      </c>
      <c r="F339" s="91"/>
      <c r="G339" s="91"/>
      <c r="H339" s="91">
        <v>1875.17</v>
      </c>
      <c r="I339" s="204"/>
      <c r="J339" s="205"/>
      <c r="K339" s="62"/>
    </row>
    <row r="340" spans="2:11" ht="24" customHeight="1" x14ac:dyDescent="0.25">
      <c r="B340" s="74">
        <v>234471</v>
      </c>
      <c r="C340" s="74" t="s">
        <v>63</v>
      </c>
      <c r="D340" s="74" t="s">
        <v>297</v>
      </c>
      <c r="E340" s="75" t="s">
        <v>298</v>
      </c>
      <c r="F340" s="91"/>
      <c r="G340" s="91"/>
      <c r="H340" s="91">
        <v>4844.38</v>
      </c>
      <c r="I340" s="204"/>
      <c r="J340" s="205"/>
      <c r="K340" s="62"/>
    </row>
    <row r="341" spans="2:11" ht="24" customHeight="1" x14ac:dyDescent="0.25">
      <c r="B341" s="87"/>
      <c r="C341" s="87" t="s">
        <v>64</v>
      </c>
      <c r="D341" s="87" t="s">
        <v>231</v>
      </c>
      <c r="E341" s="88"/>
      <c r="F341" s="89">
        <v>398.7</v>
      </c>
      <c r="G341" s="89">
        <v>398.7</v>
      </c>
      <c r="H341" s="89">
        <v>398.7</v>
      </c>
      <c r="I341" s="204">
        <f t="shared" si="4"/>
        <v>100</v>
      </c>
      <c r="J341" s="205"/>
      <c r="K341" s="62"/>
    </row>
    <row r="342" spans="2:11" ht="21.75" customHeight="1" x14ac:dyDescent="0.25">
      <c r="B342" s="74">
        <v>234472</v>
      </c>
      <c r="C342" s="74" t="s">
        <v>66</v>
      </c>
      <c r="D342" s="74" t="s">
        <v>231</v>
      </c>
      <c r="E342" s="75" t="s">
        <v>298</v>
      </c>
      <c r="F342" s="91"/>
      <c r="G342" s="91"/>
      <c r="H342" s="91">
        <v>228.94</v>
      </c>
      <c r="I342" s="204"/>
      <c r="J342" s="205"/>
      <c r="K342" s="62"/>
    </row>
    <row r="343" spans="2:11" ht="18" customHeight="1" x14ac:dyDescent="0.25">
      <c r="B343" s="74">
        <v>234473</v>
      </c>
      <c r="C343" s="74" t="s">
        <v>66</v>
      </c>
      <c r="D343" s="74" t="s">
        <v>231</v>
      </c>
      <c r="E343" s="75" t="s">
        <v>240</v>
      </c>
      <c r="F343" s="91"/>
      <c r="G343" s="91"/>
      <c r="H343" s="91">
        <v>169.76</v>
      </c>
      <c r="I343" s="204"/>
      <c r="J343" s="205"/>
      <c r="K343" s="62"/>
    </row>
    <row r="344" spans="2:11" ht="18.75" customHeight="1" x14ac:dyDescent="0.25">
      <c r="B344" s="87"/>
      <c r="C344" s="87" t="s">
        <v>67</v>
      </c>
      <c r="D344" s="87" t="s">
        <v>232</v>
      </c>
      <c r="E344" s="88"/>
      <c r="F344" s="89">
        <v>1128.1400000000001</v>
      </c>
      <c r="G344" s="89">
        <v>1128.1400000000001</v>
      </c>
      <c r="H344" s="89">
        <v>1128.1400000000001</v>
      </c>
      <c r="I344" s="204">
        <f t="shared" si="4"/>
        <v>100</v>
      </c>
      <c r="J344" s="205"/>
      <c r="K344" s="62"/>
    </row>
    <row r="345" spans="2:11" ht="32.25" customHeight="1" x14ac:dyDescent="0.25">
      <c r="B345" s="74">
        <v>234474</v>
      </c>
      <c r="C345" s="74" t="s">
        <v>69</v>
      </c>
      <c r="D345" s="74" t="s">
        <v>233</v>
      </c>
      <c r="E345" s="75" t="s">
        <v>298</v>
      </c>
      <c r="F345" s="91"/>
      <c r="G345" s="91"/>
      <c r="H345" s="91">
        <v>1128.1400000000001</v>
      </c>
      <c r="I345" s="204"/>
      <c r="J345" s="205"/>
      <c r="K345" s="62"/>
    </row>
    <row r="346" spans="2:11" ht="21.75" customHeight="1" x14ac:dyDescent="0.25">
      <c r="B346" s="87"/>
      <c r="C346" s="87" t="s">
        <v>71</v>
      </c>
      <c r="D346" s="87" t="s">
        <v>181</v>
      </c>
      <c r="E346" s="88"/>
      <c r="F346" s="89">
        <v>491.08</v>
      </c>
      <c r="G346" s="89">
        <v>491.08</v>
      </c>
      <c r="H346" s="89">
        <v>491.08</v>
      </c>
      <c r="I346" s="204">
        <f t="shared" si="4"/>
        <v>100</v>
      </c>
      <c r="J346" s="205"/>
      <c r="K346" s="62"/>
    </row>
    <row r="347" spans="2:11" ht="19.5" customHeight="1" x14ac:dyDescent="0.25">
      <c r="B347" s="87"/>
      <c r="C347" s="87" t="s">
        <v>72</v>
      </c>
      <c r="D347" s="87" t="s">
        <v>182</v>
      </c>
      <c r="E347" s="88"/>
      <c r="F347" s="89">
        <v>491.08</v>
      </c>
      <c r="G347" s="89">
        <v>491.08</v>
      </c>
      <c r="H347" s="89">
        <v>491.08</v>
      </c>
      <c r="I347" s="204">
        <f t="shared" si="4"/>
        <v>100</v>
      </c>
      <c r="J347" s="205"/>
      <c r="K347" s="62"/>
    </row>
    <row r="348" spans="2:11" ht="24" customHeight="1" x14ac:dyDescent="0.25">
      <c r="B348" s="74">
        <v>234475</v>
      </c>
      <c r="C348" s="74" t="s">
        <v>73</v>
      </c>
      <c r="D348" s="74" t="s">
        <v>184</v>
      </c>
      <c r="E348" s="75" t="s">
        <v>298</v>
      </c>
      <c r="F348" s="91">
        <v>53.09</v>
      </c>
      <c r="G348" s="91">
        <v>53.09</v>
      </c>
      <c r="H348" s="91">
        <v>53.09</v>
      </c>
      <c r="I348" s="204">
        <f t="shared" si="4"/>
        <v>100</v>
      </c>
      <c r="J348" s="205"/>
      <c r="K348" s="62"/>
    </row>
    <row r="349" spans="2:11" ht="31.5" customHeight="1" x14ac:dyDescent="0.25">
      <c r="B349" s="74">
        <v>234476</v>
      </c>
      <c r="C349" s="74">
        <v>3212</v>
      </c>
      <c r="D349" s="74" t="s">
        <v>234</v>
      </c>
      <c r="E349" s="75" t="s">
        <v>240</v>
      </c>
      <c r="F349" s="91">
        <v>26.54</v>
      </c>
      <c r="G349" s="91">
        <v>26.54</v>
      </c>
      <c r="H349" s="91">
        <v>26.54</v>
      </c>
      <c r="I349" s="204">
        <f t="shared" si="4"/>
        <v>100</v>
      </c>
      <c r="J349" s="205"/>
      <c r="K349" s="62"/>
    </row>
    <row r="350" spans="2:11" ht="30.75" customHeight="1" thickBot="1" x14ac:dyDescent="0.3">
      <c r="B350" s="74">
        <v>234477</v>
      </c>
      <c r="C350" s="74" t="s">
        <v>74</v>
      </c>
      <c r="D350" s="74" t="s">
        <v>234</v>
      </c>
      <c r="E350" s="75" t="s">
        <v>298</v>
      </c>
      <c r="F350" s="91">
        <v>388.69</v>
      </c>
      <c r="G350" s="91">
        <v>388.69</v>
      </c>
      <c r="H350" s="91">
        <v>388.68</v>
      </c>
      <c r="I350" s="204">
        <f t="shared" si="4"/>
        <v>99.997427255653605</v>
      </c>
      <c r="J350" s="205"/>
      <c r="K350" s="62"/>
    </row>
    <row r="351" spans="2:11" ht="17.25" thickTop="1" thickBot="1" x14ac:dyDescent="0.3">
      <c r="B351" s="99" t="s">
        <v>337</v>
      </c>
      <c r="C351" s="206" t="s">
        <v>339</v>
      </c>
      <c r="D351" s="207"/>
      <c r="E351" s="100"/>
      <c r="F351" s="101">
        <v>1054302</v>
      </c>
      <c r="G351" s="101">
        <v>1054302</v>
      </c>
      <c r="H351" s="102">
        <v>591069.88</v>
      </c>
      <c r="I351" s="208">
        <f t="shared" si="4"/>
        <v>56.062672744621558</v>
      </c>
      <c r="J351" s="207"/>
      <c r="K351" s="62"/>
    </row>
    <row r="352" spans="2:11" ht="16.5" thickTop="1" x14ac:dyDescent="0.25">
      <c r="H352" s="103"/>
    </row>
    <row r="354" spans="8:8" x14ac:dyDescent="0.25">
      <c r="H354" s="104"/>
    </row>
  </sheetData>
  <mergeCells count="275">
    <mergeCell ref="C8:D8"/>
    <mergeCell ref="I8:J8"/>
    <mergeCell ref="C9:D9"/>
    <mergeCell ref="I9:J9"/>
    <mergeCell ref="C10:D10"/>
    <mergeCell ref="I10:J10"/>
    <mergeCell ref="B1:I1"/>
    <mergeCell ref="B2:I2"/>
    <mergeCell ref="B3:E3"/>
    <mergeCell ref="B4:E4"/>
    <mergeCell ref="I5:J5"/>
    <mergeCell ref="I6:J6"/>
    <mergeCell ref="I7:J7"/>
    <mergeCell ref="I14:J14"/>
    <mergeCell ref="I15:J15"/>
    <mergeCell ref="I16:J16"/>
    <mergeCell ref="I17:J17"/>
    <mergeCell ref="I18:J18"/>
    <mergeCell ref="C11:D11"/>
    <mergeCell ref="I11:J11"/>
    <mergeCell ref="C12:D12"/>
    <mergeCell ref="I12:J12"/>
    <mergeCell ref="C13:D13"/>
    <mergeCell ref="I13:J13"/>
    <mergeCell ref="I25:J25"/>
    <mergeCell ref="I26:J26"/>
    <mergeCell ref="I27:J27"/>
    <mergeCell ref="I28:J28"/>
    <mergeCell ref="I20:J20"/>
    <mergeCell ref="I21:J21"/>
    <mergeCell ref="I22:J22"/>
    <mergeCell ref="I23:J23"/>
    <mergeCell ref="I24:J24"/>
    <mergeCell ref="I35:J35"/>
    <mergeCell ref="C36:D36"/>
    <mergeCell ref="I36:J36"/>
    <mergeCell ref="C37:D37"/>
    <mergeCell ref="I37:J37"/>
    <mergeCell ref="I30:J30"/>
    <mergeCell ref="I31:J31"/>
    <mergeCell ref="I32:J32"/>
    <mergeCell ref="I33:J33"/>
    <mergeCell ref="I34:J34"/>
    <mergeCell ref="I44:J44"/>
    <mergeCell ref="I45:J45"/>
    <mergeCell ref="C46:D46"/>
    <mergeCell ref="I46:J46"/>
    <mergeCell ref="C47:D47"/>
    <mergeCell ref="I47:J47"/>
    <mergeCell ref="I38:J38"/>
    <mergeCell ref="I39:J39"/>
    <mergeCell ref="I40:J40"/>
    <mergeCell ref="I42:J42"/>
    <mergeCell ref="I43:J43"/>
    <mergeCell ref="C53:D53"/>
    <mergeCell ref="I53:J53"/>
    <mergeCell ref="I54:J54"/>
    <mergeCell ref="I55:J55"/>
    <mergeCell ref="I56:J56"/>
    <mergeCell ref="I48:J48"/>
    <mergeCell ref="I49:J49"/>
    <mergeCell ref="I50:J50"/>
    <mergeCell ref="I51:J51"/>
    <mergeCell ref="C52:D52"/>
    <mergeCell ref="I52:J52"/>
    <mergeCell ref="I66:J66"/>
    <mergeCell ref="I67:J67"/>
    <mergeCell ref="I68:J68"/>
    <mergeCell ref="I69:J69"/>
    <mergeCell ref="I70:J70"/>
    <mergeCell ref="I57:J57"/>
    <mergeCell ref="I61:J61"/>
    <mergeCell ref="I62:J62"/>
    <mergeCell ref="I63:J63"/>
    <mergeCell ref="I64:J64"/>
    <mergeCell ref="C81:D81"/>
    <mergeCell ref="I81:J81"/>
    <mergeCell ref="I82:J82"/>
    <mergeCell ref="I83:J83"/>
    <mergeCell ref="I84:J84"/>
    <mergeCell ref="C78:D78"/>
    <mergeCell ref="I78:J78"/>
    <mergeCell ref="C79:D79"/>
    <mergeCell ref="I79:J79"/>
    <mergeCell ref="C80:D80"/>
    <mergeCell ref="I80:J80"/>
    <mergeCell ref="C88:D88"/>
    <mergeCell ref="I88:J88"/>
    <mergeCell ref="C89:D89"/>
    <mergeCell ref="I89:J89"/>
    <mergeCell ref="C90:D90"/>
    <mergeCell ref="I90:J90"/>
    <mergeCell ref="I85:J85"/>
    <mergeCell ref="I86:J86"/>
    <mergeCell ref="I87:J87"/>
    <mergeCell ref="I103:J103"/>
    <mergeCell ref="I104:J104"/>
    <mergeCell ref="I95:J95"/>
    <mergeCell ref="I98:J98"/>
    <mergeCell ref="I99:J99"/>
    <mergeCell ref="I100:J100"/>
    <mergeCell ref="C91:D91"/>
    <mergeCell ref="I91:J91"/>
    <mergeCell ref="I92:J92"/>
    <mergeCell ref="I93:J93"/>
    <mergeCell ref="I94:J94"/>
    <mergeCell ref="I111:J111"/>
    <mergeCell ref="I112:J112"/>
    <mergeCell ref="I113:J113"/>
    <mergeCell ref="C114:D114"/>
    <mergeCell ref="I114:J114"/>
    <mergeCell ref="I109:J109"/>
    <mergeCell ref="I110:J110"/>
    <mergeCell ref="I105:J105"/>
    <mergeCell ref="I106:J106"/>
    <mergeCell ref="I107:J107"/>
    <mergeCell ref="I108:J108"/>
    <mergeCell ref="I120:J120"/>
    <mergeCell ref="I121:J121"/>
    <mergeCell ref="I123:J123"/>
    <mergeCell ref="I124:J124"/>
    <mergeCell ref="I126:J126"/>
    <mergeCell ref="C115:D115"/>
    <mergeCell ref="I115:J115"/>
    <mergeCell ref="I116:J116"/>
    <mergeCell ref="I117:J117"/>
    <mergeCell ref="I118:J118"/>
    <mergeCell ref="I138:J138"/>
    <mergeCell ref="C134:D134"/>
    <mergeCell ref="I134:J134"/>
    <mergeCell ref="I135:J135"/>
    <mergeCell ref="I136:J136"/>
    <mergeCell ref="I137:J137"/>
    <mergeCell ref="C133:D133"/>
    <mergeCell ref="I133:J133"/>
    <mergeCell ref="I127:J127"/>
    <mergeCell ref="I128:J128"/>
    <mergeCell ref="I129:J129"/>
    <mergeCell ref="I132:J132"/>
    <mergeCell ref="C160:D160"/>
    <mergeCell ref="I160:J160"/>
    <mergeCell ref="I156:J156"/>
    <mergeCell ref="I157:J157"/>
    <mergeCell ref="I159:J159"/>
    <mergeCell ref="C153:D153"/>
    <mergeCell ref="I153:J153"/>
    <mergeCell ref="C154:D154"/>
    <mergeCell ref="I154:J154"/>
    <mergeCell ref="I155:J155"/>
    <mergeCell ref="I166:J166"/>
    <mergeCell ref="I170:J170"/>
    <mergeCell ref="I171:J171"/>
    <mergeCell ref="I172:J172"/>
    <mergeCell ref="C215:D215"/>
    <mergeCell ref="I215:J215"/>
    <mergeCell ref="C161:D161"/>
    <mergeCell ref="I161:J161"/>
    <mergeCell ref="I162:J162"/>
    <mergeCell ref="I163:J163"/>
    <mergeCell ref="I164:J164"/>
    <mergeCell ref="I218:J218"/>
    <mergeCell ref="I219:J219"/>
    <mergeCell ref="C216:D216"/>
    <mergeCell ref="I216:J216"/>
    <mergeCell ref="I217:J217"/>
    <mergeCell ref="I229:J229"/>
    <mergeCell ref="I230:J230"/>
    <mergeCell ref="I231:J231"/>
    <mergeCell ref="I232:J232"/>
    <mergeCell ref="I263:J263"/>
    <mergeCell ref="I264:J264"/>
    <mergeCell ref="I236:J236"/>
    <mergeCell ref="C260:D260"/>
    <mergeCell ref="I260:J260"/>
    <mergeCell ref="C274:D274"/>
    <mergeCell ref="I274:J274"/>
    <mergeCell ref="I221:J221"/>
    <mergeCell ref="C227:D227"/>
    <mergeCell ref="I227:J227"/>
    <mergeCell ref="C228:D228"/>
    <mergeCell ref="I228:J228"/>
    <mergeCell ref="C261:D261"/>
    <mergeCell ref="I261:J261"/>
    <mergeCell ref="I262:J262"/>
    <mergeCell ref="I277:J277"/>
    <mergeCell ref="I278:J278"/>
    <mergeCell ref="I279:J279"/>
    <mergeCell ref="C275:D275"/>
    <mergeCell ref="I275:J275"/>
    <mergeCell ref="I276:J276"/>
    <mergeCell ref="I265:J265"/>
    <mergeCell ref="I266:J266"/>
    <mergeCell ref="I267:J267"/>
    <mergeCell ref="I273:J273"/>
    <mergeCell ref="I283:J283"/>
    <mergeCell ref="I284:J284"/>
    <mergeCell ref="I285:J285"/>
    <mergeCell ref="I286:J286"/>
    <mergeCell ref="C281:D281"/>
    <mergeCell ref="I281:J281"/>
    <mergeCell ref="C282:D282"/>
    <mergeCell ref="I282:J282"/>
    <mergeCell ref="C280:D280"/>
    <mergeCell ref="I280:J280"/>
    <mergeCell ref="I291:J291"/>
    <mergeCell ref="C292:D292"/>
    <mergeCell ref="I292:J292"/>
    <mergeCell ref="C293:D293"/>
    <mergeCell ref="I293:J293"/>
    <mergeCell ref="I287:J287"/>
    <mergeCell ref="I288:J288"/>
    <mergeCell ref="I289:J289"/>
    <mergeCell ref="I290:J290"/>
    <mergeCell ref="C299:D299"/>
    <mergeCell ref="I299:J299"/>
    <mergeCell ref="I300:J300"/>
    <mergeCell ref="I301:J301"/>
    <mergeCell ref="I302:J302"/>
    <mergeCell ref="I294:J294"/>
    <mergeCell ref="I295:J295"/>
    <mergeCell ref="I296:J296"/>
    <mergeCell ref="I297:J297"/>
    <mergeCell ref="C298:D298"/>
    <mergeCell ref="I298:J298"/>
    <mergeCell ref="I306:J306"/>
    <mergeCell ref="I307:J307"/>
    <mergeCell ref="I308:J308"/>
    <mergeCell ref="I309:J309"/>
    <mergeCell ref="C310:D310"/>
    <mergeCell ref="I310:J310"/>
    <mergeCell ref="I303:J303"/>
    <mergeCell ref="C304:D304"/>
    <mergeCell ref="I304:J304"/>
    <mergeCell ref="C305:D305"/>
    <mergeCell ref="I305:J305"/>
    <mergeCell ref="I313:J313"/>
    <mergeCell ref="I314:J314"/>
    <mergeCell ref="I315:J315"/>
    <mergeCell ref="I316:J316"/>
    <mergeCell ref="I317:J317"/>
    <mergeCell ref="C311:D311"/>
    <mergeCell ref="I311:J311"/>
    <mergeCell ref="C312:D312"/>
    <mergeCell ref="I312:J312"/>
    <mergeCell ref="I321:J321"/>
    <mergeCell ref="I322:J322"/>
    <mergeCell ref="I332:J332"/>
    <mergeCell ref="C333:D333"/>
    <mergeCell ref="I333:J333"/>
    <mergeCell ref="C318:D318"/>
    <mergeCell ref="I318:J318"/>
    <mergeCell ref="C319:D319"/>
    <mergeCell ref="I319:J319"/>
    <mergeCell ref="I320:J320"/>
    <mergeCell ref="I336:J336"/>
    <mergeCell ref="I337:J337"/>
    <mergeCell ref="I338:J338"/>
    <mergeCell ref="I339:J339"/>
    <mergeCell ref="I340:J340"/>
    <mergeCell ref="C334:D334"/>
    <mergeCell ref="I334:J334"/>
    <mergeCell ref="C335:D335"/>
    <mergeCell ref="I335:J335"/>
    <mergeCell ref="I350:J350"/>
    <mergeCell ref="C351:D351"/>
    <mergeCell ref="I351:J351"/>
    <mergeCell ref="I346:J346"/>
    <mergeCell ref="I347:J347"/>
    <mergeCell ref="I348:J348"/>
    <mergeCell ref="I349:J349"/>
    <mergeCell ref="I341:J341"/>
    <mergeCell ref="I342:J342"/>
    <mergeCell ref="I343:J343"/>
    <mergeCell ref="I344:J344"/>
    <mergeCell ref="I345:J345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Račun financiranja 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Racunalo</cp:lastModifiedBy>
  <cp:lastPrinted>2023-09-01T09:05:44Z</cp:lastPrinted>
  <dcterms:created xsi:type="dcterms:W3CDTF">2022-08-12T12:51:27Z</dcterms:created>
  <dcterms:modified xsi:type="dcterms:W3CDTF">2023-09-01T09:06:15Z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IK JLP(R)S - Copy.xlsx</vt:lpwstr>
  </property>
</Properties>
</file>